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ÍNDICE" sheetId="1" state="visible" r:id="rId1"/>
    <sheet xmlns:r="http://schemas.openxmlformats.org/officeDocument/2006/relationships" name="Entrada de Dados" sheetId="2" state="visible" r:id="rId2"/>
    <sheet xmlns:r="http://schemas.openxmlformats.org/officeDocument/2006/relationships" name="RESUMO" sheetId="3" state="visible" r:id="rId3"/>
    <sheet xmlns:r="http://schemas.openxmlformats.org/officeDocument/2006/relationships" name="BALANÇO FINANCEIRO" sheetId="4" state="visible" r:id="rId4"/>
    <sheet xmlns:r="http://schemas.openxmlformats.org/officeDocument/2006/relationships" name="COMPLEMENTOS" sheetId="5" state="visible" r:id="rId5"/>
    <sheet xmlns:r="http://schemas.openxmlformats.org/officeDocument/2006/relationships" name="DIFERENÇA" sheetId="6" state="visible" r:id="rId6"/>
    <sheet xmlns:r="http://schemas.openxmlformats.org/officeDocument/2006/relationships" name="MAPA DE MONTAGEM" sheetId="7" state="visible" r:id="rId7"/>
    <sheet xmlns:r="http://schemas.openxmlformats.org/officeDocument/2006/relationships" name="MAPA DE PRODUÇÃO" sheetId="8" state="visible" r:id="rId8"/>
    <sheet xmlns:r="http://schemas.openxmlformats.org/officeDocument/2006/relationships" name="MOTIVO" sheetId="9" state="visible" r:id="rId9"/>
    <sheet xmlns:r="http://schemas.openxmlformats.org/officeDocument/2006/relationships" name="E M ABELARDO DE LAMARE" sheetId="10" state="visible" r:id="rId10"/>
    <sheet xmlns:r="http://schemas.openxmlformats.org/officeDocument/2006/relationships" name="E M BATAILLARD" sheetId="11" state="visible" r:id="rId11"/>
    <sheet xmlns:r="http://schemas.openxmlformats.org/officeDocument/2006/relationships" name="E M LEONARDO BOFF" sheetId="12" state="visible" r:id="rId12"/>
    <sheet xmlns:r="http://schemas.openxmlformats.org/officeDocument/2006/relationships" name="E M CLEMENTE FERNANDES" sheetId="13" state="visible" r:id="rId13"/>
    <sheet xmlns:r="http://schemas.openxmlformats.org/officeDocument/2006/relationships" name="E M DOM PEDRO DE ALCÂNTARA" sheetId="14" state="visible" r:id="rId14"/>
    <sheet xmlns:r="http://schemas.openxmlformats.org/officeDocument/2006/relationships" name="E M DUQUE DE CAXIAS" sheetId="15" state="visible" r:id="rId15"/>
    <sheet xmlns:r="http://schemas.openxmlformats.org/officeDocument/2006/relationships" name="E M LUIZ CARLOS SOARES" sheetId="16" state="visible" r:id="rId16"/>
    <sheet xmlns:r="http://schemas.openxmlformats.org/officeDocument/2006/relationships" name="ESCOLA MUNICIPAL GENERAL HEITOR" sheetId="17" state="visible" r:id="rId17"/>
    <sheet xmlns:r="http://schemas.openxmlformats.org/officeDocument/2006/relationships" name="E M JOÃO KOPKE" sheetId="18" state="visible" r:id="rId18"/>
    <sheet xmlns:r="http://schemas.openxmlformats.org/officeDocument/2006/relationships" name="ESCOLA MUNICIPAL ODETTE FONSECA" sheetId="19" state="visible" r:id="rId19"/>
    <sheet xmlns:r="http://schemas.openxmlformats.org/officeDocument/2006/relationships" name="E M GOVERNADOR MARCELLO ALENCAR" sheetId="20" state="visible" r:id="rId20"/>
    <sheet xmlns:r="http://schemas.openxmlformats.org/officeDocument/2006/relationships" name="E M PROF JOAQUIM DEISTER" sheetId="21" state="visible" r:id="rId21"/>
    <sheet xmlns:r="http://schemas.openxmlformats.org/officeDocument/2006/relationships" name="E M ROBERT KENNEDY" sheetId="22" state="visible" r:id="rId22"/>
    <sheet xmlns:r="http://schemas.openxmlformats.org/officeDocument/2006/relationships" name="E M ROTARY" sheetId="23" state="visible" r:id="rId23"/>
    <sheet xmlns:r="http://schemas.openxmlformats.org/officeDocument/2006/relationships" name="E M ROSALINA NICOLAY" sheetId="24" state="visible" r:id="rId24"/>
    <sheet xmlns:r="http://schemas.openxmlformats.org/officeDocument/2006/relationships" name="E M DE EDUCAÇÃO ESPECIAL SANTOS" sheetId="25" state="visible" r:id="rId25"/>
    <sheet xmlns:r="http://schemas.openxmlformats.org/officeDocument/2006/relationships" name="E M SOROPTIMISTA" sheetId="26" state="visible" r:id="rId26"/>
    <sheet xmlns:r="http://schemas.openxmlformats.org/officeDocument/2006/relationships" name="LICEU MUN PREFEITO CORDOLINO AM" sheetId="27" state="visible" r:id="rId27"/>
    <sheet xmlns:r="http://schemas.openxmlformats.org/officeDocument/2006/relationships" name="E M ANTÔNIO LEITE GARCIA" sheetId="28" state="visible" r:id="rId28"/>
    <sheet xmlns:r="http://schemas.openxmlformats.org/officeDocument/2006/relationships" name="ESCOLA MUNICIPAL JORGE AMADO" sheetId="29" state="visible" r:id="rId29"/>
    <sheet xmlns:r="http://schemas.openxmlformats.org/officeDocument/2006/relationships" name="ESCOLA MUNICIPAL LÚCIA DE ALMEI" sheetId="30" state="visible" r:id="rId30"/>
    <sheet xmlns:r="http://schemas.openxmlformats.org/officeDocument/2006/relationships" name="E M MAGDALENA TAGLIAFERRO" sheetId="31" state="visible" r:id="rId31"/>
    <sheet xmlns:r="http://schemas.openxmlformats.org/officeDocument/2006/relationships" name="ESCOLA MUNICIPAL MAJOR JÚLIO FR" sheetId="32" state="visible" r:id="rId32"/>
    <sheet xmlns:r="http://schemas.openxmlformats.org/officeDocument/2006/relationships" name="E M MARIETA GONÇALVES" sheetId="33" state="visible" r:id="rId33"/>
    <sheet xmlns:r="http://schemas.openxmlformats.org/officeDocument/2006/relationships" name="ESCOLA MUNICIPAL ODETTE YOUNG M" sheetId="34" state="visible" r:id="rId34"/>
    <sheet xmlns:r="http://schemas.openxmlformats.org/officeDocument/2006/relationships" name="E M FÁBRICA DO SABER" sheetId="35" state="visible" r:id="rId35"/>
    <sheet xmlns:r="http://schemas.openxmlformats.org/officeDocument/2006/relationships" name="ESCOLA MUNICIPAL PROFESSOR PAUL" sheetId="36" state="visible" r:id="rId36"/>
    <sheet xmlns:r="http://schemas.openxmlformats.org/officeDocument/2006/relationships" name="E M ROSEMIRA DE OLIVEIRA CAVALC" sheetId="37" state="visible" r:id="rId37"/>
    <sheet xmlns:r="http://schemas.openxmlformats.org/officeDocument/2006/relationships" name="E M AMÉLIA ANTUNES RABELLO" sheetId="38" state="visible" r:id="rId38"/>
    <sheet xmlns:r="http://schemas.openxmlformats.org/officeDocument/2006/relationships" name="ESCOLA MUNICIPAL AUGUSTO PUGNAL" sheetId="39" state="visible" r:id="rId39"/>
    <sheet xmlns:r="http://schemas.openxmlformats.org/officeDocument/2006/relationships" name="ESCOLA MUNICIPAL CELINA SCHECHN" sheetId="40" state="visible" r:id="rId40"/>
    <sheet xmlns:r="http://schemas.openxmlformats.org/officeDocument/2006/relationships" name="E M DARCY CORREA DA VEIGA" sheetId="41" state="visible" r:id="rId41"/>
    <sheet xmlns:r="http://schemas.openxmlformats.org/officeDocument/2006/relationships" name="E M DR PAULA BUARQUE" sheetId="42" state="visible" r:id="rId42"/>
    <sheet xmlns:r="http://schemas.openxmlformats.org/officeDocument/2006/relationships" name="E M DR THEODORO MACHADO" sheetId="43" state="visible" r:id="rId43"/>
    <sheet xmlns:r="http://schemas.openxmlformats.org/officeDocument/2006/relationships" name="E M ARNALDO DYCKERHOFF" sheetId="44" state="visible" r:id="rId44"/>
    <sheet xmlns:r="http://schemas.openxmlformats.org/officeDocument/2006/relationships" name="E M CARLOS CANEDO" sheetId="45" state="visible" r:id="rId45"/>
    <sheet xmlns:r="http://schemas.openxmlformats.org/officeDocument/2006/relationships" name="E M DR BARROS FRANCO" sheetId="46" state="visible" r:id="rId46"/>
    <sheet xmlns:r="http://schemas.openxmlformats.org/officeDocument/2006/relationships" name="E M MAJOR THEÓFILO DE CARVALHO" sheetId="47" state="visible" r:id="rId47"/>
    <sheet xmlns:r="http://schemas.openxmlformats.org/officeDocument/2006/relationships" name="E M TAQUARIL" sheetId="48" state="visible" r:id="rId48"/>
    <sheet xmlns:r="http://schemas.openxmlformats.org/officeDocument/2006/relationships" name="E M BEATRIZ ZALESKI" sheetId="49" state="visible" r:id="rId49"/>
    <sheet xmlns:r="http://schemas.openxmlformats.org/officeDocument/2006/relationships" name="E M ANTÔNIO JOSÉ DE LIMA" sheetId="50" state="visible" r:id="rId50"/>
    <sheet xmlns:r="http://schemas.openxmlformats.org/officeDocument/2006/relationships" name="E M FELIX WAN ERVEN DE BARROS" sheetId="51" state="visible" r:id="rId51"/>
    <sheet xmlns:r="http://schemas.openxmlformats.org/officeDocument/2006/relationships" name="ESCOLA MUNICIPAL HILDEBRANDO DE" sheetId="52" state="visible" r:id="rId52"/>
    <sheet xmlns:r="http://schemas.openxmlformats.org/officeDocument/2006/relationships" name="E M OSWALDO DA COSTA FRIAS" sheetId="53" state="visible" r:id="rId53"/>
    <sheet xmlns:r="http://schemas.openxmlformats.org/officeDocument/2006/relationships" name="E MZDA CARMEM NUNES MARTINS" sheetId="54" state="visible" r:id="rId54"/>
    <sheet xmlns:r="http://schemas.openxmlformats.org/officeDocument/2006/relationships" name="E MZDA AVELINO DE CARVALHO" sheetId="55" state="visible" r:id="rId55"/>
    <sheet xmlns:r="http://schemas.openxmlformats.org/officeDocument/2006/relationships" name="E M GERALDO VENTURA DIAS" sheetId="56" state="visible" r:id="rId56"/>
    <sheet xmlns:r="http://schemas.openxmlformats.org/officeDocument/2006/relationships" name="E M SALVADOR KLING" sheetId="57" state="visible" r:id="rId57"/>
    <sheet xmlns:r="http://schemas.openxmlformats.org/officeDocument/2006/relationships" name="E M PREFEITO JAMIL SABRÁ" sheetId="58" state="visible" r:id="rId58"/>
    <sheet xmlns:r="http://schemas.openxmlformats.org/officeDocument/2006/relationships" name="LICEU MUNICIPAL CARLOS CHAGAS F" sheetId="59" state="visible" r:id="rId59"/>
    <sheet xmlns:r="http://schemas.openxmlformats.org/officeDocument/2006/relationships" name="ESCOLA MUNICIPAL ANA MOHAMMAD" sheetId="60" state="visible" r:id="rId60"/>
    <sheet xmlns:r="http://schemas.openxmlformats.org/officeDocument/2006/relationships" name="ESCOLA MUNICIPAL ALTO INDEPENDÊ" sheetId="61" state="visible" r:id="rId61"/>
    <sheet xmlns:r="http://schemas.openxmlformats.org/officeDocument/2006/relationships" name="E M ALMIRANTE TAMANDARÉ" sheetId="62" state="visible" r:id="rId62"/>
    <sheet xmlns:r="http://schemas.openxmlformats.org/officeDocument/2006/relationships" name="ESCOLA MUNICIPALIZADA FREI ANIC" sheetId="63" state="visible" r:id="rId63"/>
    <sheet xmlns:r="http://schemas.openxmlformats.org/officeDocument/2006/relationships" name="E M PEDRO AMADO" sheetId="64" state="visible" r:id="rId64"/>
    <sheet xmlns:r="http://schemas.openxmlformats.org/officeDocument/2006/relationships" name="E M PROFª MARIA DA GLÓRIA QUEIR" sheetId="65" state="visible" r:id="rId65"/>
    <sheet xmlns:r="http://schemas.openxmlformats.org/officeDocument/2006/relationships" name="E M SEBASTIÃO LACERDA" sheetId="66" state="visible" r:id="rId66"/>
    <sheet xmlns:r="http://schemas.openxmlformats.org/officeDocument/2006/relationships" name="E M PROFESSOR FLÁVIO MACIEL" sheetId="67" state="visible" r:id="rId67"/>
    <sheet xmlns:r="http://schemas.openxmlformats.org/officeDocument/2006/relationships" name="ESCOLA MUNICIPAL PAULO SALDANHA" sheetId="68" state="visible" r:id="rId68"/>
    <sheet xmlns:r="http://schemas.openxmlformats.org/officeDocument/2006/relationships" name="ESCOLA MUNICIPAL PROFESSOR JOSE" sheetId="69" state="visible" r:id="rId69"/>
    <sheet xmlns:r="http://schemas.openxmlformats.org/officeDocument/2006/relationships" name="E M MONSENHOR CIRILLO CALAON" sheetId="70" state="visible" r:id="rId70"/>
    <sheet xmlns:r="http://schemas.openxmlformats.org/officeDocument/2006/relationships" name="E M AMÉRICO FERNANDES RIBEIRO" sheetId="71" state="visible" r:id="rId71"/>
    <sheet xmlns:r="http://schemas.openxmlformats.org/officeDocument/2006/relationships" name="E M PROFª JANDIRA PEIXOTO BORDI" sheetId="72" state="visible" r:id="rId72"/>
    <sheet xmlns:r="http://schemas.openxmlformats.org/officeDocument/2006/relationships" name="E M MONSENHOR JOÃO DE DEUS RODR" sheetId="73" state="visible" r:id="rId73"/>
    <sheet xmlns:r="http://schemas.openxmlformats.org/officeDocument/2006/relationships" name="E M DOM MANOEL PEDRO DA CUNHA C" sheetId="74" state="visible" r:id="rId74"/>
    <sheet xmlns:r="http://schemas.openxmlformats.org/officeDocument/2006/relationships" name="E M JOHANN NOEL" sheetId="75" state="visible" r:id="rId75"/>
    <sheet xmlns:r="http://schemas.openxmlformats.org/officeDocument/2006/relationships" name="E MZDA SANTA TEREZINHA" sheetId="76" state="visible" r:id="rId76"/>
    <sheet xmlns:r="http://schemas.openxmlformats.org/officeDocument/2006/relationships" name="E M PAPA JOÃO PAULO II" sheetId="77" state="visible" r:id="rId77"/>
    <sheet xmlns:r="http://schemas.openxmlformats.org/officeDocument/2006/relationships" name="E M STEFAN ZWEIG" sheetId="78" state="visible" r:id="rId78"/>
    <sheet xmlns:r="http://schemas.openxmlformats.org/officeDocument/2006/relationships" name="ESCOLA MUNICIPAL SENADOR MARIO " sheetId="79" state="visible" r:id="rId79"/>
    <sheet xmlns:r="http://schemas.openxmlformats.org/officeDocument/2006/relationships" name="E M DR RUBENS DE CASTRO BOMTEMP" sheetId="80" state="visible" r:id="rId80"/>
    <sheet xmlns:r="http://schemas.openxmlformats.org/officeDocument/2006/relationships" name="E M PAULO FREIRE" sheetId="81" state="visible" r:id="rId81"/>
    <sheet xmlns:r="http://schemas.openxmlformats.org/officeDocument/2006/relationships" name="E M PROFª MARIA CAMPOS DA SILVA" sheetId="82" state="visible" r:id="rId82"/>
    <sheet xmlns:r="http://schemas.openxmlformats.org/officeDocument/2006/relationships" name="E M HERCÍLIA HENRIQUES MORET" sheetId="83" state="visible" r:id="rId83"/>
    <sheet xmlns:r="http://schemas.openxmlformats.org/officeDocument/2006/relationships" name="ESCOLA MUNICIPALIZADA MOYSÉS FU" sheetId="84" state="visible" r:id="rId84"/>
    <sheet xmlns:r="http://schemas.openxmlformats.org/officeDocument/2006/relationships" name="CIEP BRIZOLÃO 474 MAESTRO GUERR" sheetId="85" state="visible" r:id="rId85"/>
    <sheet xmlns:r="http://schemas.openxmlformats.org/officeDocument/2006/relationships" name="CENTRO DE ENSINO PROF DARCY RIB" sheetId="86" state="visible" r:id="rId86"/>
    <sheet xmlns:r="http://schemas.openxmlformats.org/officeDocument/2006/relationships" name="CASA DA EDUCAÇÃO VISCONDE DE MA" sheetId="87" state="visible" r:id="rId87"/>
    <sheet xmlns:r="http://schemas.openxmlformats.org/officeDocument/2006/relationships" name="CENTRO DE REFERÊNCIA EM EDUCAÇÃ" sheetId="88" state="visible" r:id="rId88"/>
    <sheet xmlns:r="http://schemas.openxmlformats.org/officeDocument/2006/relationships" name="E M PROF NILTON COSTA PEREIRA D" sheetId="89" state="visible" r:id="rId89"/>
    <sheet xmlns:r="http://schemas.openxmlformats.org/officeDocument/2006/relationships" name="COLÉGIO GUNNAR VINGREN DE PETRÓ" sheetId="90" state="visible" r:id="rId90"/>
    <sheet xmlns:r="http://schemas.openxmlformats.org/officeDocument/2006/relationships" name="CENTRO DE REFERÊNCIA EM EDUC 2" sheetId="91" state="visible" r:id="rId91"/>
    <sheet xmlns:r="http://schemas.openxmlformats.org/officeDocument/2006/relationships" name="ESCOLA SANTA LUIZA DE MARILLAC" sheetId="92" state="visible" r:id="rId92"/>
    <sheet xmlns:r="http://schemas.openxmlformats.org/officeDocument/2006/relationships" name="CENTRO EDUCACIONAL COMUNIDADE S" sheetId="93" state="visible" r:id="rId93"/>
    <sheet xmlns:r="http://schemas.openxmlformats.org/officeDocument/2006/relationships" name="EDUCANDÁRIO TERRA SANTA" sheetId="94" state="visible" r:id="rId94"/>
    <sheet xmlns:r="http://schemas.openxmlformats.org/officeDocument/2006/relationships" name="ESCOLA GERMANO VALENTE" sheetId="95" state="visible" r:id="rId95"/>
    <sheet xmlns:r="http://schemas.openxmlformats.org/officeDocument/2006/relationships" name="ESCOLA DAS COMUNIDADES SANTO AN" sheetId="96" state="visible" r:id="rId96"/>
    <sheet xmlns:r="http://schemas.openxmlformats.org/officeDocument/2006/relationships" name="ESCOLA DOMÉSTICA NOSSA SENHORA " sheetId="97" state="visible" r:id="rId97"/>
    <sheet xmlns:r="http://schemas.openxmlformats.org/officeDocument/2006/relationships" name="ESCOLA PAROQUIAL NOSSA SENHO 3" sheetId="98" state="visible" r:id="rId98"/>
    <sheet xmlns:r="http://schemas.openxmlformats.org/officeDocument/2006/relationships" name="ESCOLA MONSENHOR GENTIL" sheetId="99" state="visible" r:id="rId99"/>
    <sheet xmlns:r="http://schemas.openxmlformats.org/officeDocument/2006/relationships" name="ESCOLA PAROQUIAL BOM JESUS" sheetId="100" state="visible" r:id="rId100"/>
    <sheet xmlns:r="http://schemas.openxmlformats.org/officeDocument/2006/relationships" name="ESCOLA PAROQUIAL CARLOS DEMIÁ" sheetId="101" state="visible" r:id="rId101"/>
    <sheet xmlns:r="http://schemas.openxmlformats.org/officeDocument/2006/relationships" name="ESCOLA PAROQUIAL NOSSA SENHO 2" sheetId="102" state="visible" r:id="rId102"/>
    <sheet xmlns:r="http://schemas.openxmlformats.org/officeDocument/2006/relationships" name="ESCOLA PAROQUIAL NOSSA SENHORA " sheetId="103" state="visible" r:id="rId103"/>
    <sheet xmlns:r="http://schemas.openxmlformats.org/officeDocument/2006/relationships" name="ESCOLA PAROQUIAL SÃO PEDRO DE A" sheetId="104" state="visible" r:id="rId104"/>
    <sheet xmlns:r="http://schemas.openxmlformats.org/officeDocument/2006/relationships" name="ESCOLA SANTA MARIA GORETTI" sheetId="105" state="visible" r:id="rId105"/>
    <sheet xmlns:r="http://schemas.openxmlformats.org/officeDocument/2006/relationships" name="ESCOLA SANTA RITA DE CASSIA" sheetId="106" state="visible" r:id="rId106"/>
    <sheet xmlns:r="http://schemas.openxmlformats.org/officeDocument/2006/relationships" name="ESCOLA SÃO CRISTÓVÃO" sheetId="107" state="visible" r:id="rId107"/>
    <sheet xmlns:r="http://schemas.openxmlformats.org/officeDocument/2006/relationships" name="ESCOLA PAROQUIAL SÃO FRANCISCO " sheetId="108" state="visible" r:id="rId108"/>
    <sheet xmlns:r="http://schemas.openxmlformats.org/officeDocument/2006/relationships" name="ESCOLA SAO FRANCISCO DE ASSIS" sheetId="109" state="visible" r:id="rId109"/>
    <sheet xmlns:r="http://schemas.openxmlformats.org/officeDocument/2006/relationships" name="ESCOLA SÃO JOÃO BATISTA" sheetId="110" state="visible" r:id="rId110"/>
    <sheet xmlns:r="http://schemas.openxmlformats.org/officeDocument/2006/relationships" name="ESCOLA SÃO JUDAS TADEU" sheetId="111" state="visible" r:id="rId111"/>
    <sheet xmlns:r="http://schemas.openxmlformats.org/officeDocument/2006/relationships" name="ESCOLA PAROQUIAL SÃO PIO X" sheetId="112" state="visible" r:id="rId112"/>
    <sheet xmlns:r="http://schemas.openxmlformats.org/officeDocument/2006/relationships" name="COLÉGIO ANGLICANO DE ARARAS" sheetId="113" state="visible" r:id="rId113"/>
    <sheet xmlns:r="http://schemas.openxmlformats.org/officeDocument/2006/relationships" name="COLEGIO VICENTINO PADRE CORRÊA" sheetId="114" state="visible" r:id="rId114"/>
    <sheet xmlns:r="http://schemas.openxmlformats.org/officeDocument/2006/relationships" name="ESCOLA NOSSA SENHORA DE FÁTIMA" sheetId="115" state="visible" r:id="rId115"/>
    <sheet xmlns:r="http://schemas.openxmlformats.org/officeDocument/2006/relationships" name="ESCOLA PAROQUIAL DA ALCOBAÇA" sheetId="116" state="visible" r:id="rId116"/>
    <sheet xmlns:r="http://schemas.openxmlformats.org/officeDocument/2006/relationships" name="ESCOLA PAROQUIAL DO LOTEAMENTO " sheetId="117" state="visible" r:id="rId117"/>
    <sheet xmlns:r="http://schemas.openxmlformats.org/officeDocument/2006/relationships" name="ESCOLA PAROQUIAL SANTA BERNADET" sheetId="118" state="visible" r:id="rId118"/>
    <sheet xmlns:r="http://schemas.openxmlformats.org/officeDocument/2006/relationships" name="ESCOLA SÃO GERALDO" sheetId="119" state="visible" r:id="rId119"/>
    <sheet xmlns:r="http://schemas.openxmlformats.org/officeDocument/2006/relationships" name="ESCOLA SANTO ANTÔNIO" sheetId="120" state="visible" r:id="rId120"/>
    <sheet xmlns:r="http://schemas.openxmlformats.org/officeDocument/2006/relationships" name="LICEU SÃO JOSÉ DE ITAIPAVA" sheetId="121" state="visible" r:id="rId121"/>
    <sheet xmlns:r="http://schemas.openxmlformats.org/officeDocument/2006/relationships" name="ESCOLA SÃO JOSÉ DO CAETITU" sheetId="122" state="visible" r:id="rId122"/>
    <sheet xmlns:r="http://schemas.openxmlformats.org/officeDocument/2006/relationships" name="CEI ASSOCIAÇÃO BENEFICENTE FAZE" sheetId="123" state="visible" r:id="rId123"/>
    <sheet xmlns:r="http://schemas.openxmlformats.org/officeDocument/2006/relationships" name="CEI CASA DA SOLIDARIEDADE DE NO" sheetId="124" state="visible" r:id="rId124"/>
    <sheet xmlns:r="http://schemas.openxmlformats.org/officeDocument/2006/relationships" name="CEI LULU MONTEIRO DE CASTRO" sheetId="125" state="visible" r:id="rId125"/>
    <sheet xmlns:r="http://schemas.openxmlformats.org/officeDocument/2006/relationships" name="CEI SÃO JOÃO BATISTA" sheetId="126" state="visible" r:id="rId126"/>
    <sheet xmlns:r="http://schemas.openxmlformats.org/officeDocument/2006/relationships" name="CEI SÃO FRANCISCO ASSIS" sheetId="127" state="visible" r:id="rId127"/>
    <sheet xmlns:r="http://schemas.openxmlformats.org/officeDocument/2006/relationships" name="CEI A SEMENTEIRA" sheetId="128" state="visible" r:id="rId128"/>
    <sheet xmlns:r="http://schemas.openxmlformats.org/officeDocument/2006/relationships" name="CEI FREI LEÃO" sheetId="129" state="visible" r:id="rId129"/>
    <sheet xmlns:r="http://schemas.openxmlformats.org/officeDocument/2006/relationships" name="CEI ROMANO CANAVESE" sheetId="130" state="visible" r:id="rId130"/>
    <sheet xmlns:r="http://schemas.openxmlformats.org/officeDocument/2006/relationships" name="CEI ANDRÉ VANZAN" sheetId="131" state="visible" r:id="rId131"/>
    <sheet xmlns:r="http://schemas.openxmlformats.org/officeDocument/2006/relationships" name="CEI CRIANÇA SANTA EDWIGES" sheetId="132" state="visible" r:id="rId132"/>
    <sheet xmlns:r="http://schemas.openxmlformats.org/officeDocument/2006/relationships" name="CENTRO DE EDUCAÇÃO INFANTIL IRM" sheetId="133" state="visible" r:id="rId133"/>
    <sheet xmlns:r="http://schemas.openxmlformats.org/officeDocument/2006/relationships" name="CEI PEDRAS BRANCAS" sheetId="134" state="visible" r:id="rId134"/>
    <sheet xmlns:r="http://schemas.openxmlformats.org/officeDocument/2006/relationships" name="CEI INÊS BELARMINO DE SOUZA" sheetId="135" state="visible" r:id="rId135"/>
    <sheet xmlns:r="http://schemas.openxmlformats.org/officeDocument/2006/relationships" name="CEI PROFª ROSANGELA DA SILVA LE" sheetId="136" state="visible" r:id="rId136"/>
    <sheet xmlns:r="http://schemas.openxmlformats.org/officeDocument/2006/relationships" name="CEI VILA SAO JOSE" sheetId="137" state="visible" r:id="rId137"/>
    <sheet xmlns:r="http://schemas.openxmlformats.org/officeDocument/2006/relationships" name="CEI MARIA THEREZA KLING DO VALL" sheetId="138" state="visible" r:id="rId138"/>
    <sheet xmlns:r="http://schemas.openxmlformats.org/officeDocument/2006/relationships" name="CEI DEISE ELOY GOMES" sheetId="139" state="visible" r:id="rId139"/>
    <sheet xmlns:r="http://schemas.openxmlformats.org/officeDocument/2006/relationships" name="CENTRO PAROQUIAL DE EDUCAÇÃO IN" sheetId="140" state="visible" r:id="rId140"/>
    <sheet xmlns:r="http://schemas.openxmlformats.org/officeDocument/2006/relationships" name="CEI VISTA ALEGRE" sheetId="141" state="visible" r:id="rId141"/>
    <sheet xmlns:r="http://schemas.openxmlformats.org/officeDocument/2006/relationships" name="CEI ALDEIA DA CRIANCA" sheetId="142" state="visible" r:id="rId142"/>
    <sheet xmlns:r="http://schemas.openxmlformats.org/officeDocument/2006/relationships" name="CEI DÉA LÚCIA CORDEIRO" sheetId="143" state="visible" r:id="rId143"/>
    <sheet xmlns:r="http://schemas.openxmlformats.org/officeDocument/2006/relationships" name="CENTRO DE EDUCAÇÃO INFANTIL CAR" sheetId="144" state="visible" r:id="rId144"/>
    <sheet xmlns:r="http://schemas.openxmlformats.org/officeDocument/2006/relationships" name="CEI IRMÃ SILVANA" sheetId="145" state="visible" r:id="rId145"/>
    <sheet xmlns:r="http://schemas.openxmlformats.org/officeDocument/2006/relationships" name="CEI MARLI SOARES FERREIRA NETTO" sheetId="146" state="visible" r:id="rId146"/>
    <sheet xmlns:r="http://schemas.openxmlformats.org/officeDocument/2006/relationships" name="CEI PROFª SONIA REGINA SCUDESE " sheetId="147" state="visible" r:id="rId147"/>
    <sheet xmlns:r="http://schemas.openxmlformats.org/officeDocument/2006/relationships" name="CEI DONA ESPERANZA DE BOURBON D" sheetId="148" state="visible" r:id="rId148"/>
    <sheet xmlns:r="http://schemas.openxmlformats.org/officeDocument/2006/relationships" name="CEI PREFEITO SÉRGIO FADEL" sheetId="149" state="visible" r:id="rId149"/>
    <sheet xmlns:r="http://schemas.openxmlformats.org/officeDocument/2006/relationships" name="CEI ANDRÉ REBOUÇAS" sheetId="150" state="visible" r:id="rId150"/>
    <sheet xmlns:r="http://schemas.openxmlformats.org/officeDocument/2006/relationships" name="CENTRO DE EDUCAÇÃO INFANTIL CHI" sheetId="151" state="visible" r:id="rId151"/>
    <sheet xmlns:r="http://schemas.openxmlformats.org/officeDocument/2006/relationships" name="CEI TIA ALICE" sheetId="152" state="visible" r:id="rId152"/>
    <sheet xmlns:r="http://schemas.openxmlformats.org/officeDocument/2006/relationships" name="CEI TERRA SANTA" sheetId="153" state="visible" r:id="rId153"/>
    <sheet xmlns:r="http://schemas.openxmlformats.org/officeDocument/2006/relationships" name="CEI JORGE ROLANDO DA SILVA" sheetId="154" state="visible" r:id="rId154"/>
    <sheet xmlns:r="http://schemas.openxmlformats.org/officeDocument/2006/relationships" name="CEI CARANGOLA" sheetId="155" state="visible" r:id="rId155"/>
    <sheet xmlns:r="http://schemas.openxmlformats.org/officeDocument/2006/relationships" name="CEI CÉLIA LÔBO PAULO" sheetId="156" state="visible" r:id="rId156"/>
    <sheet xmlns:r="http://schemas.openxmlformats.org/officeDocument/2006/relationships" name="CEI LIONS CLUBE DE PETRÓPOLIS" sheetId="157" state="visible" r:id="rId157"/>
    <sheet xmlns:r="http://schemas.openxmlformats.org/officeDocument/2006/relationships" name="CEI PROFª GRAÇA COSTA" sheetId="158" state="visible" r:id="rId158"/>
    <sheet xmlns:r="http://schemas.openxmlformats.org/officeDocument/2006/relationships" name="CEI ANGELA MARIA DA CONCEIÇÃO S" sheetId="159" state="visible" r:id="rId159"/>
    <sheet xmlns:r="http://schemas.openxmlformats.org/officeDocument/2006/relationships" name="CEI LUIZ MARCHIORI" sheetId="160" state="visible" r:id="rId160"/>
    <sheet xmlns:r="http://schemas.openxmlformats.org/officeDocument/2006/relationships" name="CEI PROFª MARLUCE DE SOUZA PEST" sheetId="161" state="visible" r:id="rId161"/>
    <sheet xmlns:r="http://schemas.openxmlformats.org/officeDocument/2006/relationships" name="CEI OLÍVIA MACHADO DA COSTA NOG" sheetId="162" state="visible" r:id="rId162"/>
    <sheet xmlns:r="http://schemas.openxmlformats.org/officeDocument/2006/relationships" name="CEI VILA IPANEMA" sheetId="163" state="visible" r:id="rId163"/>
    <sheet xmlns:r="http://schemas.openxmlformats.org/officeDocument/2006/relationships" name="CEI VILA LEOPOLDINA" sheetId="164" state="visible" r:id="rId164"/>
    <sheet xmlns:r="http://schemas.openxmlformats.org/officeDocument/2006/relationships" name="CENTRO DE EDUCAÇÃO INFANTIL CAS" sheetId="165" state="visible" r:id="rId165"/>
    <sheet xmlns:r="http://schemas.openxmlformats.org/officeDocument/2006/relationships" name="CEI PRIMEIRA INFÂNCIA" sheetId="166" state="visible" r:id="rId166"/>
    <sheet xmlns:r="http://schemas.openxmlformats.org/officeDocument/2006/relationships" name="CEI PROFª DORA KILLER" sheetId="167" state="visible" r:id="rId167"/>
    <sheet xmlns:r="http://schemas.openxmlformats.org/officeDocument/2006/relationships" name="CEI PROFª PATRÍCIA FERREIRA E S" sheetId="168" state="visible" r:id="rId168"/>
    <sheet xmlns:r="http://schemas.openxmlformats.org/officeDocument/2006/relationships" name="CEI DRA ZILDA ARNS NEUMANN" sheetId="169" state="visible" r:id="rId169"/>
    <sheet xmlns:r="http://schemas.openxmlformats.org/officeDocument/2006/relationships" name="CEI DENISE BESSA DE OLIVA MAYA" sheetId="170" state="visible" r:id="rId170"/>
    <sheet xmlns:r="http://schemas.openxmlformats.org/officeDocument/2006/relationships" name="CEI GIUSEPPE-NEVA VOLONTERIO" sheetId="171" state="visible" r:id="rId171"/>
    <sheet xmlns:r="http://schemas.openxmlformats.org/officeDocument/2006/relationships" name="CENTRO DE EDUCAÇÃO INFANTIL LOT" sheetId="172" state="visible" r:id="rId172"/>
    <sheet xmlns:r="http://schemas.openxmlformats.org/officeDocument/2006/relationships" name="CEI IRINEU MARINHO" sheetId="173" state="visible" r:id="rId173"/>
    <sheet xmlns:r="http://schemas.openxmlformats.org/officeDocument/2006/relationships" name="CEI OSWALDO CRUZ" sheetId="174" state="visible" r:id="rId174"/>
    <sheet xmlns:r="http://schemas.openxmlformats.org/officeDocument/2006/relationships" name="CEI ANA CAROLINA TELLES" sheetId="175" state="visible" r:id="rId175"/>
    <sheet xmlns:r="http://schemas.openxmlformats.org/officeDocument/2006/relationships" name="CEI JOSÉ GONÇALVES DA MOTTA" sheetId="176" state="visible" r:id="rId176"/>
    <sheet xmlns:r="http://schemas.openxmlformats.org/officeDocument/2006/relationships" name="CEI SAGRADA FAMÍLIA" sheetId="177" state="visible" r:id="rId177"/>
    <sheet xmlns:r="http://schemas.openxmlformats.org/officeDocument/2006/relationships" name="CEI PROFª HERMÍNIA MATHEUS" sheetId="178" state="visible" r:id="rId178"/>
    <sheet xmlns:r="http://schemas.openxmlformats.org/officeDocument/2006/relationships" name="CENTRO DE EDUCAÇÃO INFANTIL PRO" sheetId="179" state="visible" r:id="rId179"/>
    <sheet xmlns:r="http://schemas.openxmlformats.org/officeDocument/2006/relationships" name="CEI MONSENHOR PAULO ELIAS DAHER" sheetId="180" state="visible" r:id="rId180"/>
    <sheet xmlns:r="http://schemas.openxmlformats.org/officeDocument/2006/relationships" name="CEI DAGMAR ROLANDO DE OLIVEIRA" sheetId="181" state="visible" r:id="rId181"/>
    <sheet xmlns:r="http://schemas.openxmlformats.org/officeDocument/2006/relationships" name="CENTRO DE EDUCAÇÃO INFANTIL  2" sheetId="182" state="visible" r:id="rId182"/>
    <sheet xmlns:r="http://schemas.openxmlformats.org/officeDocument/2006/relationships" name="CEI BOA VISTA" sheetId="183" state="visible" r:id="rId183"/>
    <sheet xmlns:r="http://schemas.openxmlformats.org/officeDocument/2006/relationships" name="CEI NILO PEÇANHA" sheetId="184" state="visible" r:id="rId184"/>
    <sheet xmlns:r="http://schemas.openxmlformats.org/officeDocument/2006/relationships" name="CENTRO DE EDUCAÇÃO INFANTIL AUG" sheetId="185" state="visible" r:id="rId185"/>
    <sheet xmlns:r="http://schemas.openxmlformats.org/officeDocument/2006/relationships" name="CEI THEREZINHA DE JESUS LIMA" sheetId="186" state="visible" r:id="rId186"/>
    <sheet xmlns:r="http://schemas.openxmlformats.org/officeDocument/2006/relationships" name="CEI VIDEIRINHA" sheetId="187" state="visible" r:id="rId187"/>
    <sheet xmlns:r="http://schemas.openxmlformats.org/officeDocument/2006/relationships" name="CEI PROFª ADRIANA CONSTÂNCIO TR" sheetId="188" state="visible" r:id="rId188"/>
    <sheet xmlns:r="http://schemas.openxmlformats.org/officeDocument/2006/relationships" name="CENTRO DE EDUCAÇÃO INFANTIL SÉR" sheetId="189" state="visible" r:id="rId189"/>
    <sheet xmlns:r="http://schemas.openxmlformats.org/officeDocument/2006/relationships" name="CEI JURACI PINTO DO AMARAL DE C" sheetId="190" state="visible" r:id="rId190"/>
    <sheet xmlns:r="http://schemas.openxmlformats.org/officeDocument/2006/relationships" name="CEI NOSSA SENHORA DA GLÓRIA" sheetId="191" state="visible" r:id="rId191"/>
    <sheet xmlns:r="http://schemas.openxmlformats.org/officeDocument/2006/relationships" name="CEI ALTO INDEPENDÊNCIA" sheetId="192" state="visible" r:id="rId192"/>
    <sheet xmlns:r="http://schemas.openxmlformats.org/officeDocument/2006/relationships" name="CEI SÃO JOSÉ DAS OBLATAS DE NAZ" sheetId="193" state="visible" r:id="rId193"/>
    <sheet xmlns:r="http://schemas.openxmlformats.org/officeDocument/2006/relationships" name="CEI SANTO ANTÔNIO AGOSTINHO" sheetId="194" state="visible" r:id="rId194"/>
    <sheet xmlns:r="http://schemas.openxmlformats.org/officeDocument/2006/relationships" name="CEI SÃO CHARBEL" sheetId="195" state="visible" r:id="rId195"/>
    <sheet xmlns:r="http://schemas.openxmlformats.org/officeDocument/2006/relationships" name="ASSOCIAÇÃO DA CRECHE SÃO FRANCI" sheetId="196" state="visible" r:id="rId196"/>
    <sheet xmlns:r="http://schemas.openxmlformats.org/officeDocument/2006/relationships" name="CEI SÃO JOSÉ DO ITAMARATI" sheetId="197" state="visible" r:id="rId197"/>
    <sheet xmlns:r="http://schemas.openxmlformats.org/officeDocument/2006/relationships" name="ASSOCIAÇÃO RECREAR" sheetId="198" state="visible" r:id="rId198"/>
    <sheet xmlns:r="http://schemas.openxmlformats.org/officeDocument/2006/relationships" name="CRECHE-ESCOLA CASTELO SÃO MANOE" sheetId="199" state="visible" r:id="rId199"/>
    <sheet xmlns:r="http://schemas.openxmlformats.org/officeDocument/2006/relationships" name="CENTRO DE EDUCAÇÃO INFANTIL SÃO" sheetId="200" state="visible" r:id="rId200"/>
    <sheet xmlns:r="http://schemas.openxmlformats.org/officeDocument/2006/relationships" name="PROD - Ana C. C. R. Souza" sheetId="201" state="visible" r:id="rId201"/>
    <sheet xmlns:r="http://schemas.openxmlformats.org/officeDocument/2006/relationships" name="PROD - Anderson Mello Quimas" sheetId="202" state="visible" r:id="rId202"/>
    <sheet xmlns:r="http://schemas.openxmlformats.org/officeDocument/2006/relationships" name="PROD - Armando Jose Silva" sheetId="203" state="visible" r:id="rId203"/>
    <sheet xmlns:r="http://schemas.openxmlformats.org/officeDocument/2006/relationships" name="PROD - Arnaldo Silva" sheetId="204" state="visible" r:id="rId204"/>
    <sheet xmlns:r="http://schemas.openxmlformats.org/officeDocument/2006/relationships" name="PROD - Claudeni R. Xavier" sheetId="205" state="visible" r:id="rId205"/>
    <sheet xmlns:r="http://schemas.openxmlformats.org/officeDocument/2006/relationships" name="PROD - Edson Jose Silva" sheetId="206" state="visible" r:id="rId206"/>
    <sheet xmlns:r="http://schemas.openxmlformats.org/officeDocument/2006/relationships" name="PROD - Gabriel Adriano Souza" sheetId="207" state="visible" r:id="rId207"/>
    <sheet xmlns:r="http://schemas.openxmlformats.org/officeDocument/2006/relationships" name="PROD - Gustavo Mello Rodrigues" sheetId="208" state="visible" r:id="rId208"/>
    <sheet xmlns:r="http://schemas.openxmlformats.org/officeDocument/2006/relationships" name="PROD - Joaquim Sergio Lage" sheetId="209" state="visible" r:id="rId209"/>
    <sheet xmlns:r="http://schemas.openxmlformats.org/officeDocument/2006/relationships" name="PROD - Jorge G. P. Diniz" sheetId="210" state="visible" r:id="rId210"/>
    <sheet xmlns:r="http://schemas.openxmlformats.org/officeDocument/2006/relationships" name="PROD - Jose G. S. Mello" sheetId="211" state="visible" r:id="rId211"/>
    <sheet xmlns:r="http://schemas.openxmlformats.org/officeDocument/2006/relationships" name="PROD - Jose Rodrigues Melo" sheetId="212" state="visible" r:id="rId212"/>
    <sheet xmlns:r="http://schemas.openxmlformats.org/officeDocument/2006/relationships" name="PROD - Lucio Mauro Felix Silva" sheetId="213" state="visible" r:id="rId213"/>
    <sheet xmlns:r="http://schemas.openxmlformats.org/officeDocument/2006/relationships" name="PROD - Luiz A. O. Pinto" sheetId="214" state="visible" r:id="rId214"/>
    <sheet xmlns:r="http://schemas.openxmlformats.org/officeDocument/2006/relationships" name="PROD - Marcelo Marcos Delgado" sheetId="215" state="visible" r:id="rId215"/>
    <sheet xmlns:r="http://schemas.openxmlformats.org/officeDocument/2006/relationships" name="PROD - Marcio Azevedo Souza" sheetId="216" state="visible" r:id="rId216"/>
    <sheet xmlns:r="http://schemas.openxmlformats.org/officeDocument/2006/relationships" name="PROD - Marco Antonio Coelho" sheetId="217" state="visible" r:id="rId217"/>
    <sheet xmlns:r="http://schemas.openxmlformats.org/officeDocument/2006/relationships" name="PROD - Marcos Marcelo Delgado" sheetId="218" state="visible" r:id="rId218"/>
    <sheet xmlns:r="http://schemas.openxmlformats.org/officeDocument/2006/relationships" name="PROD - Miguel Fernando Almeida" sheetId="219" state="visible" r:id="rId219"/>
    <sheet xmlns:r="http://schemas.openxmlformats.org/officeDocument/2006/relationships" name="PROD - Nilson Ferreira Silva" sheetId="220" state="visible" r:id="rId220"/>
    <sheet xmlns:r="http://schemas.openxmlformats.org/officeDocument/2006/relationships" name="PROD - Renato Jose Silva" sheetId="221" state="visible" r:id="rId221"/>
    <sheet xmlns:r="http://schemas.openxmlformats.org/officeDocument/2006/relationships" name="PROD - Rodolfo Azevedo Andrade" sheetId="222" state="visible" r:id="rId222"/>
    <sheet xmlns:r="http://schemas.openxmlformats.org/officeDocument/2006/relationships" name="TOTAL ACEITO NO GALPÃO" sheetId="223" state="visible" r:id="rId223"/>
    <sheet xmlns:r="http://schemas.openxmlformats.org/officeDocument/2006/relationships" name="LISTAS DE APOIO" sheetId="224" state="visible" r:id="rId224"/>
    <sheet xmlns:r="http://schemas.openxmlformats.org/officeDocument/2006/relationships" name="_AUX_MOTIVO_ESCOLAS" sheetId="225" state="hidden" r:id="rId225"/>
  </sheets>
  <definedNames>
    <definedName name="_xlnm.Print_Area" localSheetId="0">'ÍNDICE'!$A$1:$F$260</definedName>
    <definedName name="_xlnm.Print_Titles" localSheetId="1">'Entrada de Dados'!$5:$5</definedName>
    <definedName name="_xlnm.Print_Area" localSheetId="1">'Entrada de Dados'!$A$1:$U$248</definedName>
    <definedName name="_xlnm.Print_Area" localSheetId="3">'BALANÇO FINANCEIRO'!$A$1:$D$48</definedName>
    <definedName name="_xlnm.Print_Area" localSheetId="4">'COMPLEMENTOS'!$M$6:$T$20</definedName>
    <definedName name="_xlnm.Print_Area" localSheetId="5">'DIFERENÇA'!$A$1:$E$20</definedName>
    <definedName name="_xlnm.Print_Area" localSheetId="6">'MAPA DE MONTAGEM'!$A$1:$X$288</definedName>
    <definedName name="_xlnm.Print_Area" localSheetId="7">'MAPA DE PRODUÇÃO'!$A$1:$N$122</definedName>
    <definedName name="_xlnm._FilterDatabase" localSheetId="9" hidden="1">'E M ABELARDO DE LAMARE'!$B$8:$B$27</definedName>
    <definedName name="_xlnm.Print_Area" localSheetId="9">'E M ABELARDO DE LAMARE'!$A$1:$E$32</definedName>
    <definedName name="_xlnm._FilterDatabase" localSheetId="10" hidden="1">'E M BATAILLARD'!$B$8:$B$27</definedName>
    <definedName name="_xlnm.Print_Area" localSheetId="10">'E M BATAILLARD'!$A$1:$E$32</definedName>
    <definedName name="_xlnm._FilterDatabase" localSheetId="11" hidden="1">'E M LEONARDO BOFF'!$B$8:$B$27</definedName>
    <definedName name="_xlnm.Print_Area" localSheetId="11">'E M LEONARDO BOFF'!$A$1:$E$32</definedName>
    <definedName name="_xlnm._FilterDatabase" localSheetId="12" hidden="1">'E M CLEMENTE FERNANDES'!$B$8:$B$27</definedName>
    <definedName name="_xlnm.Print_Area" localSheetId="12">'E M CLEMENTE FERNANDES'!$A$1:$E$32</definedName>
    <definedName name="_xlnm._FilterDatabase" localSheetId="13" hidden="1">'E M DOM PEDRO DE ALCÂNTARA'!$B$8:$B$27</definedName>
    <definedName name="_xlnm.Print_Area" localSheetId="13">'E M DOM PEDRO DE ALCÂNTARA'!$A$1:$E$32</definedName>
    <definedName name="_xlnm._FilterDatabase" localSheetId="14" hidden="1">'E M DUQUE DE CAXIAS'!$B$8:$B$27</definedName>
    <definedName name="_xlnm.Print_Area" localSheetId="14">'E M DUQUE DE CAXIAS'!$A$1:$E$32</definedName>
    <definedName name="_xlnm._FilterDatabase" localSheetId="15" hidden="1">'E M LUIZ CARLOS SOARES'!$B$8:$B$27</definedName>
    <definedName name="_xlnm.Print_Area" localSheetId="15">'E M LUIZ CARLOS SOARES'!$A$1:$E$32</definedName>
    <definedName name="_xlnm._FilterDatabase" localSheetId="16" hidden="1">'ESCOLA MUNICIPAL GENERAL HEITOR'!$B$8:$B$27</definedName>
    <definedName name="_xlnm.Print_Area" localSheetId="16">'ESCOLA MUNICIPAL GENERAL HEITOR'!$A$1:$E$32</definedName>
    <definedName name="_xlnm._FilterDatabase" localSheetId="17" hidden="1">'E M JOÃO KOPKE'!$B$8:$B$27</definedName>
    <definedName name="_xlnm.Print_Area" localSheetId="17">'E M JOÃO KOPKE'!$A$1:$E$32</definedName>
    <definedName name="_xlnm._FilterDatabase" localSheetId="18" hidden="1">'ESCOLA MUNICIPAL ODETTE FONSECA'!$B$8:$B$27</definedName>
    <definedName name="_xlnm.Print_Area" localSheetId="18">'ESCOLA MUNICIPAL ODETTE FONSECA'!$A$1:$E$32</definedName>
    <definedName name="_xlnm._FilterDatabase" localSheetId="19" hidden="1">'E M GOVERNADOR MARCELLO ALENCAR'!$B$8:$B$27</definedName>
    <definedName name="_xlnm.Print_Area" localSheetId="19">'E M GOVERNADOR MARCELLO ALENCAR'!$A$1:$E$32</definedName>
    <definedName name="_xlnm._FilterDatabase" localSheetId="20" hidden="1">'E M PROF JOAQUIM DEISTER'!$B$8:$B$27</definedName>
    <definedName name="_xlnm.Print_Area" localSheetId="20">'E M PROF JOAQUIM DEISTER'!$A$1:$E$32</definedName>
    <definedName name="_xlnm._FilterDatabase" localSheetId="21" hidden="1">'E M ROBERT KENNEDY'!$B$8:$B$27</definedName>
    <definedName name="_xlnm.Print_Area" localSheetId="21">'E M ROBERT KENNEDY'!$A$1:$E$32</definedName>
    <definedName name="_xlnm._FilterDatabase" localSheetId="22" hidden="1">'E M ROTARY'!$B$8:$B$27</definedName>
    <definedName name="_xlnm.Print_Area" localSheetId="22">'E M ROTARY'!$A$1:$E$32</definedName>
    <definedName name="_xlnm._FilterDatabase" localSheetId="23" hidden="1">'E M ROSALINA NICOLAY'!$B$8:$B$27</definedName>
    <definedName name="_xlnm.Print_Area" localSheetId="23">'E M ROSALINA NICOLAY'!$A$1:$E$32</definedName>
    <definedName name="_xlnm._FilterDatabase" localSheetId="24" hidden="1">'E M DE EDUCAÇÃO ESPECIAL SANTOS'!$B$8:$B$27</definedName>
    <definedName name="_xlnm.Print_Area" localSheetId="24">'E M DE EDUCAÇÃO ESPECIAL SANTOS'!$A$1:$E$32</definedName>
    <definedName name="_xlnm._FilterDatabase" localSheetId="25" hidden="1">'E M SOROPTIMISTA'!$B$8:$B$27</definedName>
    <definedName name="_xlnm.Print_Area" localSheetId="25">'E M SOROPTIMISTA'!$A$1:$E$32</definedName>
    <definedName name="_xlnm._FilterDatabase" localSheetId="26" hidden="1">'LICEU MUN PREFEITO CORDOLINO AM'!$B$8:$B$27</definedName>
    <definedName name="_xlnm.Print_Area" localSheetId="26">'LICEU MUN PREFEITO CORDOLINO AM'!$A$1:$E$32</definedName>
    <definedName name="_xlnm._FilterDatabase" localSheetId="27" hidden="1">'E M ANTÔNIO LEITE GARCIA'!$B$8:$B$27</definedName>
    <definedName name="_xlnm.Print_Area" localSheetId="27">'E M ANTÔNIO LEITE GARCIA'!$A$1:$E$32</definedName>
    <definedName name="_xlnm._FilterDatabase" localSheetId="28" hidden="1">'ESCOLA MUNICIPAL JORGE AMADO'!$B$8:$B$27</definedName>
    <definedName name="_xlnm.Print_Area" localSheetId="28">'ESCOLA MUNICIPAL JORGE AMADO'!$A$1:$E$32</definedName>
    <definedName name="_xlnm._FilterDatabase" localSheetId="29" hidden="1">'ESCOLA MUNICIPAL LÚCIA DE ALMEI'!$B$8:$B$27</definedName>
    <definedName name="_xlnm.Print_Area" localSheetId="29">'ESCOLA MUNICIPAL LÚCIA DE ALMEI'!$A$1:$E$32</definedName>
    <definedName name="_xlnm._FilterDatabase" localSheetId="30" hidden="1">'E M MAGDALENA TAGLIAFERRO'!$B$8:$B$27</definedName>
    <definedName name="_xlnm.Print_Area" localSheetId="30">'E M MAGDALENA TAGLIAFERRO'!$A$1:$E$32</definedName>
    <definedName name="_xlnm._FilterDatabase" localSheetId="31" hidden="1">'ESCOLA MUNICIPAL MAJOR JÚLIO FR'!$B$8:$B$27</definedName>
    <definedName name="_xlnm.Print_Area" localSheetId="31">'ESCOLA MUNICIPAL MAJOR JÚLIO FR'!$A$1:$E$32</definedName>
    <definedName name="_xlnm._FilterDatabase" localSheetId="32" hidden="1">'E M MARIETA GONÇALVES'!$B$8:$B$27</definedName>
    <definedName name="_xlnm.Print_Area" localSheetId="32">'E M MARIETA GONÇALVES'!$A$1:$E$32</definedName>
    <definedName name="_xlnm._FilterDatabase" localSheetId="33" hidden="1">'ESCOLA MUNICIPAL ODETTE YOUNG M'!$B$8:$B$27</definedName>
    <definedName name="_xlnm.Print_Area" localSheetId="33">'ESCOLA MUNICIPAL ODETTE YOUNG M'!$A$1:$E$32</definedName>
    <definedName name="_xlnm._FilterDatabase" localSheetId="34" hidden="1">'E M FÁBRICA DO SABER'!$B$8:$B$27</definedName>
    <definedName name="_xlnm.Print_Area" localSheetId="34">'E M FÁBRICA DO SABER'!$A$1:$E$32</definedName>
    <definedName name="_xlnm._FilterDatabase" localSheetId="35" hidden="1">'ESCOLA MUNICIPAL PROFESSOR PAUL'!$B$8:$B$27</definedName>
    <definedName name="_xlnm.Print_Area" localSheetId="35">'ESCOLA MUNICIPAL PROFESSOR PAUL'!$A$1:$E$32</definedName>
    <definedName name="_xlnm._FilterDatabase" localSheetId="36" hidden="1">'E M ROSEMIRA DE OLIVEIRA CAVALC'!$B$8:$B$27</definedName>
    <definedName name="_xlnm.Print_Area" localSheetId="36">'E M ROSEMIRA DE OLIVEIRA CAVALC'!$A$1:$E$32</definedName>
    <definedName name="_xlnm._FilterDatabase" localSheetId="37" hidden="1">'E M AMÉLIA ANTUNES RABELLO'!$B$8:$B$27</definedName>
    <definedName name="_xlnm.Print_Area" localSheetId="37">'E M AMÉLIA ANTUNES RABELLO'!$A$1:$E$32</definedName>
    <definedName name="_xlnm._FilterDatabase" localSheetId="38" hidden="1">'ESCOLA MUNICIPAL AUGUSTO PUGNAL'!$B$8:$B$27</definedName>
    <definedName name="_xlnm.Print_Area" localSheetId="38">'ESCOLA MUNICIPAL AUGUSTO PUGNAL'!$A$1:$E$32</definedName>
    <definedName name="_xlnm._FilterDatabase" localSheetId="39" hidden="1">'ESCOLA MUNICIPAL CELINA SCHECHN'!$B$8:$B$27</definedName>
    <definedName name="_xlnm.Print_Area" localSheetId="39">'ESCOLA MUNICIPAL CELINA SCHECHN'!$A$1:$E$32</definedName>
    <definedName name="_xlnm._FilterDatabase" localSheetId="40" hidden="1">'E M DARCY CORREA DA VEIGA'!$B$8:$B$27</definedName>
    <definedName name="_xlnm.Print_Area" localSheetId="40">'E M DARCY CORREA DA VEIGA'!$A$1:$E$32</definedName>
    <definedName name="_xlnm._FilterDatabase" localSheetId="41" hidden="1">'E M DR PAULA BUARQUE'!$B$8:$B$27</definedName>
    <definedName name="_xlnm.Print_Area" localSheetId="41">'E M DR PAULA BUARQUE'!$A$1:$E$32</definedName>
    <definedName name="_xlnm._FilterDatabase" localSheetId="42" hidden="1">'E M DR THEODORO MACHADO'!$B$8:$B$27</definedName>
    <definedName name="_xlnm.Print_Area" localSheetId="42">'E M DR THEODORO MACHADO'!$A$1:$E$32</definedName>
    <definedName name="_xlnm._FilterDatabase" localSheetId="43" hidden="1">'E M ARNALDO DYCKERHOFF'!$B$8:$B$27</definedName>
    <definedName name="_xlnm.Print_Area" localSheetId="43">'E M ARNALDO DYCKERHOFF'!$A$1:$E$32</definedName>
    <definedName name="_xlnm._FilterDatabase" localSheetId="44" hidden="1">'E M CARLOS CANEDO'!$B$8:$B$27</definedName>
    <definedName name="_xlnm.Print_Area" localSheetId="44">'E M CARLOS CANEDO'!$A$1:$E$32</definedName>
    <definedName name="_xlnm._FilterDatabase" localSheetId="45" hidden="1">'E M DR BARROS FRANCO'!$B$8:$B$27</definedName>
    <definedName name="_xlnm.Print_Area" localSheetId="45">'E M DR BARROS FRANCO'!$A$1:$E$32</definedName>
    <definedName name="_xlnm._FilterDatabase" localSheetId="46" hidden="1">'E M MAJOR THEÓFILO DE CARVALHO'!$B$8:$B$27</definedName>
    <definedName name="_xlnm.Print_Area" localSheetId="46">'E M MAJOR THEÓFILO DE CARVALHO'!$A$1:$E$32</definedName>
    <definedName name="_xlnm._FilterDatabase" localSheetId="47" hidden="1">'E M TAQUARIL'!$B$8:$B$27</definedName>
    <definedName name="_xlnm.Print_Area" localSheetId="47">'E M TAQUARIL'!$A$1:$E$32</definedName>
    <definedName name="_xlnm._FilterDatabase" localSheetId="48" hidden="1">'E M BEATRIZ ZALESKI'!$B$8:$B$27</definedName>
    <definedName name="_xlnm.Print_Area" localSheetId="48">'E M BEATRIZ ZALESKI'!$A$1:$E$32</definedName>
    <definedName name="_xlnm._FilterDatabase" localSheetId="49" hidden="1">'E M ANTÔNIO JOSÉ DE LIMA'!$B$8:$B$27</definedName>
    <definedName name="_xlnm.Print_Area" localSheetId="49">'E M ANTÔNIO JOSÉ DE LIMA'!$A$1:$E$32</definedName>
    <definedName name="_xlnm._FilterDatabase" localSheetId="50" hidden="1">'E M FELIX WAN ERVEN DE BARROS'!$B$8:$B$27</definedName>
    <definedName name="_xlnm.Print_Area" localSheetId="50">'E M FELIX WAN ERVEN DE BARROS'!$A$1:$E$32</definedName>
    <definedName name="_xlnm._FilterDatabase" localSheetId="51" hidden="1">'ESCOLA MUNICIPAL HILDEBRANDO DE'!$B$8:$B$27</definedName>
    <definedName name="_xlnm.Print_Area" localSheetId="51">'ESCOLA MUNICIPAL HILDEBRANDO DE'!$A$1:$E$32</definedName>
    <definedName name="_xlnm._FilterDatabase" localSheetId="52" hidden="1">'E M OSWALDO DA COSTA FRIAS'!$B$8:$B$27</definedName>
    <definedName name="_xlnm.Print_Area" localSheetId="52">'E M OSWALDO DA COSTA FRIAS'!$A$1:$E$32</definedName>
    <definedName name="_xlnm._FilterDatabase" localSheetId="53" hidden="1">'E MZDA CARMEM NUNES MARTINS'!$B$8:$B$27</definedName>
    <definedName name="_xlnm.Print_Area" localSheetId="53">'E MZDA CARMEM NUNES MARTINS'!$A$1:$E$32</definedName>
    <definedName name="_xlnm._FilterDatabase" localSheetId="54" hidden="1">'E MZDA AVELINO DE CARVALHO'!$B$8:$B$27</definedName>
    <definedName name="_xlnm.Print_Area" localSheetId="54">'E MZDA AVELINO DE CARVALHO'!$A$1:$E$32</definedName>
    <definedName name="_xlnm._FilterDatabase" localSheetId="55" hidden="1">'E M GERALDO VENTURA DIAS'!$B$8:$B$27</definedName>
    <definedName name="_xlnm.Print_Area" localSheetId="55">'E M GERALDO VENTURA DIAS'!$A$1:$E$32</definedName>
    <definedName name="_xlnm._FilterDatabase" localSheetId="56" hidden="1">'E M SALVADOR KLING'!$B$8:$B$27</definedName>
    <definedName name="_xlnm.Print_Area" localSheetId="56">'E M SALVADOR KLING'!$A$1:$E$32</definedName>
    <definedName name="_xlnm._FilterDatabase" localSheetId="57" hidden="1">'E M PREFEITO JAMIL SABRÁ'!$B$8:$B$27</definedName>
    <definedName name="_xlnm.Print_Area" localSheetId="57">'E M PREFEITO JAMIL SABRÁ'!$A$1:$E$32</definedName>
    <definedName name="_xlnm._FilterDatabase" localSheetId="58" hidden="1">'LICEU MUNICIPAL CARLOS CHAGAS F'!$B$8:$B$27</definedName>
    <definedName name="_xlnm.Print_Area" localSheetId="58">'LICEU MUNICIPAL CARLOS CHAGAS F'!$A$1:$E$32</definedName>
    <definedName name="_xlnm._FilterDatabase" localSheetId="59" hidden="1">'ESCOLA MUNICIPAL ANA MOHAMMAD'!$B$8:$B$27</definedName>
    <definedName name="_xlnm.Print_Area" localSheetId="59">'ESCOLA MUNICIPAL ANA MOHAMMAD'!$A$1:$E$32</definedName>
    <definedName name="_xlnm._FilterDatabase" localSheetId="60" hidden="1">'ESCOLA MUNICIPAL ALTO INDEPENDÊ'!$B$8:$B$27</definedName>
    <definedName name="_xlnm.Print_Area" localSheetId="60">'ESCOLA MUNICIPAL ALTO INDEPENDÊ'!$A$1:$E$32</definedName>
    <definedName name="_xlnm._FilterDatabase" localSheetId="61" hidden="1">'E M ALMIRANTE TAMANDARÉ'!$B$8:$B$27</definedName>
    <definedName name="_xlnm.Print_Area" localSheetId="61">'E M ALMIRANTE TAMANDARÉ'!$A$1:$E$32</definedName>
    <definedName name="_xlnm._FilterDatabase" localSheetId="62" hidden="1">'ESCOLA MUNICIPALIZADA FREI ANIC'!$B$8:$B$27</definedName>
    <definedName name="_xlnm.Print_Area" localSheetId="62">'ESCOLA MUNICIPALIZADA FREI ANIC'!$A$1:$E$32</definedName>
    <definedName name="_xlnm._FilterDatabase" localSheetId="63" hidden="1">'E M PEDRO AMADO'!$B$8:$B$27</definedName>
    <definedName name="_xlnm.Print_Area" localSheetId="63">'E M PEDRO AMADO'!$A$1:$E$32</definedName>
    <definedName name="_xlnm._FilterDatabase" localSheetId="64" hidden="1">'E M PROFª MARIA DA GLÓRIA QUEIR'!$B$8:$B$27</definedName>
    <definedName name="_xlnm.Print_Area" localSheetId="64">'E M PROFª MARIA DA GLÓRIA QUEIR'!$A$1:$E$32</definedName>
    <definedName name="_xlnm._FilterDatabase" localSheetId="65" hidden="1">'E M SEBASTIÃO LACERDA'!$B$8:$B$27</definedName>
    <definedName name="_xlnm.Print_Area" localSheetId="65">'E M SEBASTIÃO LACERDA'!$A$1:$E$32</definedName>
    <definedName name="_xlnm._FilterDatabase" localSheetId="66" hidden="1">'E M PROFESSOR FLÁVIO MACIEL'!$B$8:$B$27</definedName>
    <definedName name="_xlnm.Print_Area" localSheetId="66">'E M PROFESSOR FLÁVIO MACIEL'!$A$1:$E$32</definedName>
    <definedName name="_xlnm._FilterDatabase" localSheetId="67" hidden="1">'ESCOLA MUNICIPAL PAULO SALDANHA'!$B$8:$B$27</definedName>
    <definedName name="_xlnm.Print_Area" localSheetId="67">'ESCOLA MUNICIPAL PAULO SALDANHA'!$A$1:$E$32</definedName>
    <definedName name="_xlnm._FilterDatabase" localSheetId="68" hidden="1">'ESCOLA MUNICIPAL PROFESSOR JOSE'!$B$8:$B$27</definedName>
    <definedName name="_xlnm.Print_Area" localSheetId="68">'ESCOLA MUNICIPAL PROFESSOR JOSE'!$A$1:$E$32</definedName>
    <definedName name="_xlnm._FilterDatabase" localSheetId="69" hidden="1">'E M MONSENHOR CIRILLO CALAON'!$B$8:$B$27</definedName>
    <definedName name="_xlnm.Print_Area" localSheetId="69">'E M MONSENHOR CIRILLO CALAON'!$A$1:$E$32</definedName>
    <definedName name="_xlnm._FilterDatabase" localSheetId="70" hidden="1">'E M AMÉRICO FERNANDES RIBEIRO'!$B$8:$B$27</definedName>
    <definedName name="_xlnm.Print_Area" localSheetId="70">'E M AMÉRICO FERNANDES RIBEIRO'!$A$1:$E$32</definedName>
    <definedName name="_xlnm._FilterDatabase" localSheetId="71" hidden="1">'E M PROFª JANDIRA PEIXOTO BORDI'!$B$8:$B$27</definedName>
    <definedName name="_xlnm.Print_Area" localSheetId="71">'E M PROFª JANDIRA PEIXOTO BORDI'!$A$1:$E$32</definedName>
    <definedName name="_xlnm._FilterDatabase" localSheetId="72" hidden="1">'E M MONSENHOR JOÃO DE DEUS RODR'!$B$8:$B$27</definedName>
    <definedName name="_xlnm.Print_Area" localSheetId="72">'E M MONSENHOR JOÃO DE DEUS RODR'!$A$1:$E$32</definedName>
    <definedName name="_xlnm._FilterDatabase" localSheetId="73" hidden="1">'E M DOM MANOEL PEDRO DA CUNHA C'!$B$8:$B$27</definedName>
    <definedName name="_xlnm.Print_Area" localSheetId="73">'E M DOM MANOEL PEDRO DA CUNHA C'!$A$1:$E$32</definedName>
    <definedName name="_xlnm._FilterDatabase" localSheetId="74" hidden="1">'E M JOHANN NOEL'!$B$8:$B$27</definedName>
    <definedName name="_xlnm.Print_Area" localSheetId="74">'E M JOHANN NOEL'!$A$1:$E$32</definedName>
    <definedName name="_xlnm._FilterDatabase" localSheetId="75" hidden="1">'E MZDA SANTA TEREZINHA'!$B$8:$B$27</definedName>
    <definedName name="_xlnm.Print_Area" localSheetId="75">'E MZDA SANTA TEREZINHA'!$A$1:$E$32</definedName>
    <definedName name="_xlnm._FilterDatabase" localSheetId="76" hidden="1">'E M PAPA JOÃO PAULO II'!$B$8:$B$27</definedName>
    <definedName name="_xlnm.Print_Area" localSheetId="76">'E M PAPA JOÃO PAULO II'!$A$1:$E$32</definedName>
    <definedName name="_xlnm._FilterDatabase" localSheetId="77" hidden="1">'E M STEFAN ZWEIG'!$B$8:$B$27</definedName>
    <definedName name="_xlnm.Print_Area" localSheetId="77">'E M STEFAN ZWEIG'!$A$1:$E$32</definedName>
    <definedName name="_xlnm._FilterDatabase" localSheetId="78" hidden="1">'ESCOLA MUNICIPAL SENADOR MARIO '!$B$8:$B$27</definedName>
    <definedName name="_xlnm.Print_Area" localSheetId="78">'ESCOLA MUNICIPAL SENADOR MARIO '!$A$1:$E$32</definedName>
    <definedName name="_xlnm._FilterDatabase" localSheetId="79" hidden="1">'E M DR RUBENS DE CASTRO BOMTEMP'!$B$8:$B$27</definedName>
    <definedName name="_xlnm.Print_Area" localSheetId="79">'E M DR RUBENS DE CASTRO BOMTEMP'!$A$1:$E$32</definedName>
    <definedName name="_xlnm._FilterDatabase" localSheetId="80" hidden="1">'E M PAULO FREIRE'!$B$8:$B$27</definedName>
    <definedName name="_xlnm.Print_Area" localSheetId="80">'E M PAULO FREIRE'!$A$1:$E$32</definedName>
    <definedName name="_xlnm._FilterDatabase" localSheetId="81" hidden="1">'E M PROFª MARIA CAMPOS DA SILVA'!$B$8:$B$27</definedName>
    <definedName name="_xlnm.Print_Area" localSheetId="81">'E M PROFª MARIA CAMPOS DA SILVA'!$A$1:$E$32</definedName>
    <definedName name="_xlnm._FilterDatabase" localSheetId="82" hidden="1">'E M HERCÍLIA HENRIQUES MORET'!$B$8:$B$27</definedName>
    <definedName name="_xlnm.Print_Area" localSheetId="82">'E M HERCÍLIA HENRIQUES MORET'!$A$1:$E$32</definedName>
    <definedName name="_xlnm._FilterDatabase" localSheetId="83" hidden="1">'ESCOLA MUNICIPALIZADA MOYSÉS FU'!$B$8:$B$27</definedName>
    <definedName name="_xlnm.Print_Area" localSheetId="83">'ESCOLA MUNICIPALIZADA MOYSÉS FU'!$A$1:$E$32</definedName>
    <definedName name="_xlnm._FilterDatabase" localSheetId="84" hidden="1">'CIEP BRIZOLÃO 474 MAESTRO GUERR'!$B$8:$B$27</definedName>
    <definedName name="_xlnm.Print_Area" localSheetId="84">'CIEP BRIZOLÃO 474 MAESTRO GUERR'!$A$1:$E$32</definedName>
    <definedName name="_xlnm._FilterDatabase" localSheetId="85" hidden="1">'CENTRO DE ENSINO PROF DARCY RIB'!$B$8:$B$27</definedName>
    <definedName name="_xlnm.Print_Area" localSheetId="85">'CENTRO DE ENSINO PROF DARCY RIB'!$A$1:$E$32</definedName>
    <definedName name="_xlnm._FilterDatabase" localSheetId="86" hidden="1">'CASA DA EDUCAÇÃO VISCONDE DE MA'!$B$8:$B$27</definedName>
    <definedName name="_xlnm.Print_Area" localSheetId="86">'CASA DA EDUCAÇÃO VISCONDE DE MA'!$A$1:$E$32</definedName>
    <definedName name="_xlnm._FilterDatabase" localSheetId="87" hidden="1">'CENTRO DE REFERÊNCIA EM EDUCAÇÃ'!$B$8:$B$27</definedName>
    <definedName name="_xlnm.Print_Area" localSheetId="87">'CENTRO DE REFERÊNCIA EM EDUCAÇÃ'!$A$1:$E$32</definedName>
    <definedName name="_xlnm._FilterDatabase" localSheetId="88" hidden="1">'E M PROF NILTON COSTA PEREIRA D'!$B$8:$B$27</definedName>
    <definedName name="_xlnm.Print_Area" localSheetId="88">'E M PROF NILTON COSTA PEREIRA D'!$A$1:$E$32</definedName>
    <definedName name="_xlnm._FilterDatabase" localSheetId="89" hidden="1">'COLÉGIO GUNNAR VINGREN DE PETRÓ'!$B$8:$B$27</definedName>
    <definedName name="_xlnm.Print_Area" localSheetId="89">'COLÉGIO GUNNAR VINGREN DE PETRÓ'!$A$1:$E$32</definedName>
    <definedName name="_xlnm._FilterDatabase" localSheetId="90" hidden="1">'CENTRO DE REFERÊNCIA EM EDUC 2'!$B$8:$B$27</definedName>
    <definedName name="_xlnm.Print_Area" localSheetId="90">'CENTRO DE REFERÊNCIA EM EDUC 2'!$A$1:$E$32</definedName>
    <definedName name="_xlnm._FilterDatabase" localSheetId="91" hidden="1">'ESCOLA SANTA LUIZA DE MARILLAC'!$B$8:$B$27</definedName>
    <definedName name="_xlnm.Print_Area" localSheetId="91">'ESCOLA SANTA LUIZA DE MARILLAC'!$A$1:$E$32</definedName>
    <definedName name="_xlnm._FilterDatabase" localSheetId="92" hidden="1">'CENTRO EDUCACIONAL COMUNIDADE S'!$B$8:$B$27</definedName>
    <definedName name="_xlnm.Print_Area" localSheetId="92">'CENTRO EDUCACIONAL COMUNIDADE S'!$A$1:$E$32</definedName>
    <definedName name="_xlnm._FilterDatabase" localSheetId="93" hidden="1">'EDUCANDÁRIO TERRA SANTA'!$B$8:$B$27</definedName>
    <definedName name="_xlnm.Print_Area" localSheetId="93">'EDUCANDÁRIO TERRA SANTA'!$A$1:$E$32</definedName>
    <definedName name="_xlnm._FilterDatabase" localSheetId="94" hidden="1">'ESCOLA GERMANO VALENTE'!$B$8:$B$27</definedName>
    <definedName name="_xlnm.Print_Area" localSheetId="94">'ESCOLA GERMANO VALENTE'!$A$1:$E$32</definedName>
    <definedName name="_xlnm._FilterDatabase" localSheetId="95" hidden="1">'ESCOLA DAS COMUNIDADES SANTO AN'!$B$8:$B$27</definedName>
    <definedName name="_xlnm.Print_Area" localSheetId="95">'ESCOLA DAS COMUNIDADES SANTO AN'!$A$1:$E$32</definedName>
    <definedName name="_xlnm._FilterDatabase" localSheetId="96" hidden="1">'ESCOLA DOMÉSTICA NOSSA SENHORA '!$B$8:$B$27</definedName>
    <definedName name="_xlnm.Print_Area" localSheetId="96">'ESCOLA DOMÉSTICA NOSSA SENHORA '!$A$1:$E$32</definedName>
    <definedName name="_xlnm._FilterDatabase" localSheetId="97" hidden="1">'ESCOLA PAROQUIAL NOSSA SENHO 3'!$B$8:$B$27</definedName>
    <definedName name="_xlnm.Print_Area" localSheetId="97">'ESCOLA PAROQUIAL NOSSA SENHO 3'!$A$1:$E$32</definedName>
    <definedName name="_xlnm._FilterDatabase" localSheetId="98" hidden="1">'ESCOLA MONSENHOR GENTIL'!$B$8:$B$27</definedName>
    <definedName name="_xlnm.Print_Area" localSheetId="98">'ESCOLA MONSENHOR GENTIL'!$A$1:$E$32</definedName>
    <definedName name="_xlnm._FilterDatabase" localSheetId="99" hidden="1">'ESCOLA PAROQUIAL BOM JESUS'!$B$8:$B$27</definedName>
    <definedName name="_xlnm.Print_Area" localSheetId="99">'ESCOLA PAROQUIAL BOM JESUS'!$A$1:$E$32</definedName>
    <definedName name="_xlnm._FilterDatabase" localSheetId="100" hidden="1">'ESCOLA PAROQUIAL CARLOS DEMIÁ'!$B$8:$B$27</definedName>
    <definedName name="_xlnm.Print_Area" localSheetId="100">'ESCOLA PAROQUIAL CARLOS DEMIÁ'!$A$1:$E$32</definedName>
    <definedName name="_xlnm._FilterDatabase" localSheetId="101" hidden="1">'ESCOLA PAROQUIAL NOSSA SENHO 2'!$B$8:$B$27</definedName>
    <definedName name="_xlnm.Print_Area" localSheetId="101">'ESCOLA PAROQUIAL NOSSA SENHO 2'!$A$1:$E$32</definedName>
    <definedName name="_xlnm._FilterDatabase" localSheetId="102" hidden="1">'ESCOLA PAROQUIAL NOSSA SENHORA '!$B$8:$B$27</definedName>
    <definedName name="_xlnm.Print_Area" localSheetId="102">'ESCOLA PAROQUIAL NOSSA SENHORA '!$A$1:$E$32</definedName>
    <definedName name="_xlnm._FilterDatabase" localSheetId="103" hidden="1">'ESCOLA PAROQUIAL SÃO PEDRO DE A'!$B$8:$B$27</definedName>
    <definedName name="_xlnm.Print_Area" localSheetId="103">'ESCOLA PAROQUIAL SÃO PEDRO DE A'!$A$1:$E$32</definedName>
    <definedName name="_xlnm._FilterDatabase" localSheetId="104" hidden="1">'ESCOLA SANTA MARIA GORETTI'!$B$8:$B$27</definedName>
    <definedName name="_xlnm.Print_Area" localSheetId="104">'ESCOLA SANTA MARIA GORETTI'!$A$1:$E$32</definedName>
    <definedName name="_xlnm._FilterDatabase" localSheetId="105" hidden="1">'ESCOLA SANTA RITA DE CASSIA'!$B$8:$B$27</definedName>
    <definedName name="_xlnm.Print_Area" localSheetId="105">'ESCOLA SANTA RITA DE CASSIA'!$A$1:$E$32</definedName>
    <definedName name="_xlnm._FilterDatabase" localSheetId="106" hidden="1">'ESCOLA SÃO CRISTÓVÃO'!$B$8:$B$27</definedName>
    <definedName name="_xlnm.Print_Area" localSheetId="106">'ESCOLA SÃO CRISTÓVÃO'!$A$1:$E$32</definedName>
    <definedName name="_xlnm._FilterDatabase" localSheetId="107" hidden="1">'ESCOLA PAROQUIAL SÃO FRANCISCO '!$B$8:$B$27</definedName>
    <definedName name="_xlnm.Print_Area" localSheetId="107">'ESCOLA PAROQUIAL SÃO FRANCISCO '!$A$1:$E$32</definedName>
    <definedName name="_xlnm._FilterDatabase" localSheetId="108" hidden="1">'ESCOLA SAO FRANCISCO DE ASSIS'!$B$8:$B$27</definedName>
    <definedName name="_xlnm.Print_Area" localSheetId="108">'ESCOLA SAO FRANCISCO DE ASSIS'!$A$1:$E$32</definedName>
    <definedName name="_xlnm._FilterDatabase" localSheetId="109" hidden="1">'ESCOLA SÃO JOÃO BATISTA'!$B$8:$B$27</definedName>
    <definedName name="_xlnm.Print_Area" localSheetId="109">'ESCOLA SÃO JOÃO BATISTA'!$A$1:$E$32</definedName>
    <definedName name="_xlnm._FilterDatabase" localSheetId="110" hidden="1">'ESCOLA SÃO JUDAS TADEU'!$B$8:$B$27</definedName>
    <definedName name="_xlnm.Print_Area" localSheetId="110">'ESCOLA SÃO JUDAS TADEU'!$A$1:$E$32</definedName>
    <definedName name="_xlnm._FilterDatabase" localSheetId="111" hidden="1">'ESCOLA PAROQUIAL SÃO PIO X'!$B$8:$B$27</definedName>
    <definedName name="_xlnm.Print_Area" localSheetId="111">'ESCOLA PAROQUIAL SÃO PIO X'!$A$1:$E$32</definedName>
    <definedName name="_xlnm._FilterDatabase" localSheetId="112" hidden="1">'COLÉGIO ANGLICANO DE ARARAS'!$B$8:$B$27</definedName>
    <definedName name="_xlnm.Print_Area" localSheetId="112">'COLÉGIO ANGLICANO DE ARARAS'!$A$1:$E$32</definedName>
    <definedName name="_xlnm._FilterDatabase" localSheetId="113" hidden="1">'COLEGIO VICENTINO PADRE CORRÊA'!$B$8:$B$27</definedName>
    <definedName name="_xlnm.Print_Area" localSheetId="113">'COLEGIO VICENTINO PADRE CORRÊA'!$A$1:$E$32</definedName>
    <definedName name="_xlnm._FilterDatabase" localSheetId="114" hidden="1">'ESCOLA NOSSA SENHORA DE FÁTIMA'!$B$8:$B$27</definedName>
    <definedName name="_xlnm.Print_Area" localSheetId="114">'ESCOLA NOSSA SENHORA DE FÁTIMA'!$A$1:$E$32</definedName>
    <definedName name="_xlnm._FilterDatabase" localSheetId="115" hidden="1">'ESCOLA PAROQUIAL DA ALCOBAÇA'!$B$8:$B$27</definedName>
    <definedName name="_xlnm.Print_Area" localSheetId="115">'ESCOLA PAROQUIAL DA ALCOBAÇA'!$A$1:$E$32</definedName>
    <definedName name="_xlnm._FilterDatabase" localSheetId="116" hidden="1">'ESCOLA PAROQUIAL DO LOTEAMENTO '!$B$8:$B$27</definedName>
    <definedName name="_xlnm.Print_Area" localSheetId="116">'ESCOLA PAROQUIAL DO LOTEAMENTO '!$A$1:$E$32</definedName>
    <definedName name="_xlnm._FilterDatabase" localSheetId="117" hidden="1">'ESCOLA PAROQUIAL SANTA BERNADET'!$B$8:$B$27</definedName>
    <definedName name="_xlnm.Print_Area" localSheetId="117">'ESCOLA PAROQUIAL SANTA BERNADET'!$A$1:$E$32</definedName>
    <definedName name="_xlnm._FilterDatabase" localSheetId="118" hidden="1">'ESCOLA SÃO GERALDO'!$B$8:$B$27</definedName>
    <definedName name="_xlnm.Print_Area" localSheetId="118">'ESCOLA SÃO GERALDO'!$A$1:$E$32</definedName>
    <definedName name="_xlnm._FilterDatabase" localSheetId="119" hidden="1">'ESCOLA SANTO ANTÔNIO'!$B$8:$B$27</definedName>
    <definedName name="_xlnm.Print_Area" localSheetId="119">'ESCOLA SANTO ANTÔNIO'!$A$1:$E$32</definedName>
    <definedName name="_xlnm._FilterDatabase" localSheetId="120" hidden="1">'LICEU SÃO JOSÉ DE ITAIPAVA'!$B$8:$B$27</definedName>
    <definedName name="_xlnm.Print_Area" localSheetId="120">'LICEU SÃO JOSÉ DE ITAIPAVA'!$A$1:$E$32</definedName>
    <definedName name="_xlnm._FilterDatabase" localSheetId="121" hidden="1">'ESCOLA SÃO JOSÉ DO CAETITU'!$B$8:$B$27</definedName>
    <definedName name="_xlnm.Print_Area" localSheetId="121">'ESCOLA SÃO JOSÉ DO CAETITU'!$A$1:$E$32</definedName>
    <definedName name="_xlnm._FilterDatabase" localSheetId="122" hidden="1">'CEI ASSOCIAÇÃO BENEFICENTE FAZE'!$B$8:$B$27</definedName>
    <definedName name="_xlnm.Print_Area" localSheetId="122">'CEI ASSOCIAÇÃO BENEFICENTE FAZE'!$A$1:$E$32</definedName>
    <definedName name="_xlnm._FilterDatabase" localSheetId="123" hidden="1">'CEI CASA DA SOLIDARIEDADE DE NO'!$B$8:$B$27</definedName>
    <definedName name="_xlnm.Print_Area" localSheetId="123">'CEI CASA DA SOLIDARIEDADE DE NO'!$A$1:$E$32</definedName>
    <definedName name="_xlnm._FilterDatabase" localSheetId="124" hidden="1">'CEI LULU MONTEIRO DE CASTRO'!$B$8:$B$27</definedName>
    <definedName name="_xlnm.Print_Area" localSheetId="124">'CEI LULU MONTEIRO DE CASTRO'!$A$1:$E$32</definedName>
    <definedName name="_xlnm._FilterDatabase" localSheetId="125" hidden="1">'CEI SÃO JOÃO BATISTA'!$B$8:$B$27</definedName>
    <definedName name="_xlnm.Print_Area" localSheetId="125">'CEI SÃO JOÃO BATISTA'!$A$1:$E$32</definedName>
    <definedName name="_xlnm._FilterDatabase" localSheetId="126" hidden="1">'CEI SÃO FRANCISCO ASSIS'!$B$8:$B$27</definedName>
    <definedName name="_xlnm.Print_Area" localSheetId="126">'CEI SÃO FRANCISCO ASSIS'!$A$1:$E$32</definedName>
    <definedName name="_xlnm._FilterDatabase" localSheetId="127" hidden="1">'CEI A SEMENTEIRA'!$B$8:$B$27</definedName>
    <definedName name="_xlnm.Print_Area" localSheetId="127">'CEI A SEMENTEIRA'!$A$1:$E$32</definedName>
    <definedName name="_xlnm._FilterDatabase" localSheetId="128" hidden="1">'CEI FREI LEÃO'!$B$8:$B$27</definedName>
    <definedName name="_xlnm.Print_Area" localSheetId="128">'CEI FREI LEÃO'!$A$1:$E$32</definedName>
    <definedName name="_xlnm._FilterDatabase" localSheetId="129" hidden="1">'CEI ROMANO CANAVESE'!$B$8:$B$27</definedName>
    <definedName name="_xlnm.Print_Area" localSheetId="129">'CEI ROMANO CANAVESE'!$A$1:$E$32</definedName>
    <definedName name="_xlnm._FilterDatabase" localSheetId="130" hidden="1">'CEI ANDRÉ VANZAN'!$B$8:$B$27</definedName>
    <definedName name="_xlnm.Print_Area" localSheetId="130">'CEI ANDRÉ VANZAN'!$A$1:$E$32</definedName>
    <definedName name="_xlnm._FilterDatabase" localSheetId="131" hidden="1">'CEI CRIANÇA SANTA EDWIGES'!$B$8:$B$27</definedName>
    <definedName name="_xlnm.Print_Area" localSheetId="131">'CEI CRIANÇA SANTA EDWIGES'!$A$1:$E$32</definedName>
    <definedName name="_xlnm._FilterDatabase" localSheetId="132" hidden="1">'CENTRO DE EDUCAÇÃO INFANTIL IRM'!$B$8:$B$27</definedName>
    <definedName name="_xlnm.Print_Area" localSheetId="132">'CENTRO DE EDUCAÇÃO INFANTIL IRM'!$A$1:$E$32</definedName>
    <definedName name="_xlnm._FilterDatabase" localSheetId="133" hidden="1">'CEI PEDRAS BRANCAS'!$B$8:$B$27</definedName>
    <definedName name="_xlnm.Print_Area" localSheetId="133">'CEI PEDRAS BRANCAS'!$A$1:$E$32</definedName>
    <definedName name="_xlnm._FilterDatabase" localSheetId="134" hidden="1">'CEI INÊS BELARMINO DE SOUZA'!$B$8:$B$27</definedName>
    <definedName name="_xlnm.Print_Area" localSheetId="134">'CEI INÊS BELARMINO DE SOUZA'!$A$1:$E$32</definedName>
    <definedName name="_xlnm._FilterDatabase" localSheetId="135" hidden="1">'CEI PROFª ROSANGELA DA SILVA LE'!$B$8:$B$27</definedName>
    <definedName name="_xlnm.Print_Area" localSheetId="135">'CEI PROFª ROSANGELA DA SILVA LE'!$A$1:$E$32</definedName>
    <definedName name="_xlnm._FilterDatabase" localSheetId="136" hidden="1">'CEI VILA SAO JOSE'!$B$8:$B$27</definedName>
    <definedName name="_xlnm.Print_Area" localSheetId="136">'CEI VILA SAO JOSE'!$A$1:$E$32</definedName>
    <definedName name="_xlnm._FilterDatabase" localSheetId="137" hidden="1">'CEI MARIA THEREZA KLING DO VALL'!$B$8:$B$27</definedName>
    <definedName name="_xlnm.Print_Area" localSheetId="137">'CEI MARIA THEREZA KLING DO VALL'!$A$1:$E$32</definedName>
    <definedName name="_xlnm._FilterDatabase" localSheetId="138" hidden="1">'CEI DEISE ELOY GOMES'!$B$8:$B$27</definedName>
    <definedName name="_xlnm.Print_Area" localSheetId="138">'CEI DEISE ELOY GOMES'!$A$1:$E$32</definedName>
    <definedName name="_xlnm._FilterDatabase" localSheetId="139" hidden="1">'CENTRO PAROQUIAL DE EDUCAÇÃO IN'!$B$8:$B$27</definedName>
    <definedName name="_xlnm.Print_Area" localSheetId="139">'CENTRO PAROQUIAL DE EDUCAÇÃO IN'!$A$1:$E$32</definedName>
    <definedName name="_xlnm._FilterDatabase" localSheetId="140" hidden="1">'CEI VISTA ALEGRE'!$B$8:$B$27</definedName>
    <definedName name="_xlnm.Print_Area" localSheetId="140">'CEI VISTA ALEGRE'!$A$1:$E$32</definedName>
    <definedName name="_xlnm._FilterDatabase" localSheetId="141" hidden="1">'CEI ALDEIA DA CRIANCA'!$B$8:$B$27</definedName>
    <definedName name="_xlnm.Print_Area" localSheetId="141">'CEI ALDEIA DA CRIANCA'!$A$1:$E$32</definedName>
    <definedName name="_xlnm._FilterDatabase" localSheetId="142" hidden="1">'CEI DÉA LÚCIA CORDEIRO'!$B$8:$B$27</definedName>
    <definedName name="_xlnm.Print_Area" localSheetId="142">'CEI DÉA LÚCIA CORDEIRO'!$A$1:$E$32</definedName>
    <definedName name="_xlnm._FilterDatabase" localSheetId="143" hidden="1">'CENTRO DE EDUCAÇÃO INFANTIL CAR'!$B$8:$B$27</definedName>
    <definedName name="_xlnm.Print_Area" localSheetId="143">'CENTRO DE EDUCAÇÃO INFANTIL CAR'!$A$1:$E$32</definedName>
    <definedName name="_xlnm._FilterDatabase" localSheetId="144" hidden="1">'CEI IRMÃ SILVANA'!$B$8:$B$27</definedName>
    <definedName name="_xlnm.Print_Area" localSheetId="144">'CEI IRMÃ SILVANA'!$A$1:$E$32</definedName>
    <definedName name="_xlnm._FilterDatabase" localSheetId="145" hidden="1">'CEI MARLI SOARES FERREIRA NETTO'!$B$8:$B$27</definedName>
    <definedName name="_xlnm.Print_Area" localSheetId="145">'CEI MARLI SOARES FERREIRA NETTO'!$A$1:$E$32</definedName>
    <definedName name="_xlnm._FilterDatabase" localSheetId="146" hidden="1">'CEI PROFª SONIA REGINA SCUDESE '!$B$8:$B$27</definedName>
    <definedName name="_xlnm.Print_Area" localSheetId="146">'CEI PROFª SONIA REGINA SCUDESE '!$A$1:$E$32</definedName>
    <definedName name="_xlnm._FilterDatabase" localSheetId="147" hidden="1">'CEI DONA ESPERANZA DE BOURBON D'!$B$8:$B$27</definedName>
    <definedName name="_xlnm.Print_Area" localSheetId="147">'CEI DONA ESPERANZA DE BOURBON D'!$A$1:$E$32</definedName>
    <definedName name="_xlnm._FilterDatabase" localSheetId="148" hidden="1">'CEI PREFEITO SÉRGIO FADEL'!$B$8:$B$27</definedName>
    <definedName name="_xlnm.Print_Area" localSheetId="148">'CEI PREFEITO SÉRGIO FADEL'!$A$1:$E$32</definedName>
    <definedName name="_xlnm._FilterDatabase" localSheetId="149" hidden="1">'CEI ANDRÉ REBOUÇAS'!$B$8:$B$27</definedName>
    <definedName name="_xlnm.Print_Area" localSheetId="149">'CEI ANDRÉ REBOUÇAS'!$A$1:$E$32</definedName>
    <definedName name="_xlnm._FilterDatabase" localSheetId="150" hidden="1">'CENTRO DE EDUCAÇÃO INFANTIL CHI'!$B$8:$B$27</definedName>
    <definedName name="_xlnm.Print_Area" localSheetId="150">'CENTRO DE EDUCAÇÃO INFANTIL CHI'!$A$1:$E$32</definedName>
    <definedName name="_xlnm._FilterDatabase" localSheetId="151" hidden="1">'CEI TIA ALICE'!$B$8:$B$27</definedName>
    <definedName name="_xlnm.Print_Area" localSheetId="151">'CEI TIA ALICE'!$A$1:$E$32</definedName>
    <definedName name="_xlnm._FilterDatabase" localSheetId="152" hidden="1">'CEI TERRA SANTA'!$B$8:$B$27</definedName>
    <definedName name="_xlnm.Print_Area" localSheetId="152">'CEI TERRA SANTA'!$A$1:$E$32</definedName>
    <definedName name="_xlnm._FilterDatabase" localSheetId="153" hidden="1">'CEI JORGE ROLANDO DA SILVA'!$B$8:$B$27</definedName>
    <definedName name="_xlnm.Print_Area" localSheetId="153">'CEI JORGE ROLANDO DA SILVA'!$A$1:$E$32</definedName>
    <definedName name="_xlnm._FilterDatabase" localSheetId="154" hidden="1">'CEI CARANGOLA'!$B$8:$B$27</definedName>
    <definedName name="_xlnm.Print_Area" localSheetId="154">'CEI CARANGOLA'!$A$1:$E$32</definedName>
    <definedName name="_xlnm._FilterDatabase" localSheetId="155" hidden="1">'CEI CÉLIA LÔBO PAULO'!$B$8:$B$27</definedName>
    <definedName name="_xlnm.Print_Area" localSheetId="155">'CEI CÉLIA LÔBO PAULO'!$A$1:$E$32</definedName>
    <definedName name="_xlnm._FilterDatabase" localSheetId="156" hidden="1">'CEI LIONS CLUBE DE PETRÓPOLIS'!$B$8:$B$27</definedName>
    <definedName name="_xlnm.Print_Area" localSheetId="156">'CEI LIONS CLUBE DE PETRÓPOLIS'!$A$1:$E$32</definedName>
    <definedName name="_xlnm._FilterDatabase" localSheetId="157" hidden="1">'CEI PROFª GRAÇA COSTA'!$B$8:$B$27</definedName>
    <definedName name="_xlnm.Print_Area" localSheetId="157">'CEI PROFª GRAÇA COSTA'!$A$1:$E$32</definedName>
    <definedName name="_xlnm._FilterDatabase" localSheetId="158" hidden="1">'CEI ANGELA MARIA DA CONCEIÇÃO S'!$B$8:$B$27</definedName>
    <definedName name="_xlnm.Print_Area" localSheetId="158">'CEI ANGELA MARIA DA CONCEIÇÃO S'!$A$1:$E$32</definedName>
    <definedName name="_xlnm._FilterDatabase" localSheetId="159" hidden="1">'CEI LUIZ MARCHIORI'!$B$8:$B$27</definedName>
    <definedName name="_xlnm.Print_Area" localSheetId="159">'CEI LUIZ MARCHIORI'!$A$1:$E$32</definedName>
    <definedName name="_xlnm._FilterDatabase" localSheetId="160" hidden="1">'CEI PROFª MARLUCE DE SOUZA PEST'!$B$8:$B$27</definedName>
    <definedName name="_xlnm.Print_Area" localSheetId="160">'CEI PROFª MARLUCE DE SOUZA PEST'!$A$1:$E$32</definedName>
    <definedName name="_xlnm._FilterDatabase" localSheetId="161" hidden="1">'CEI OLÍVIA MACHADO DA COSTA NOG'!$B$8:$B$27</definedName>
    <definedName name="_xlnm.Print_Area" localSheetId="161">'CEI OLÍVIA MACHADO DA COSTA NOG'!$A$1:$E$32</definedName>
    <definedName name="_xlnm._FilterDatabase" localSheetId="162" hidden="1">'CEI VILA IPANEMA'!$B$8:$B$27</definedName>
    <definedName name="_xlnm.Print_Area" localSheetId="162">'CEI VILA IPANEMA'!$A$1:$E$32</definedName>
    <definedName name="_xlnm._FilterDatabase" localSheetId="163" hidden="1">'CEI VILA LEOPOLDINA'!$B$8:$B$27</definedName>
    <definedName name="_xlnm.Print_Area" localSheetId="163">'CEI VILA LEOPOLDINA'!$A$1:$E$32</definedName>
    <definedName name="_xlnm._FilterDatabase" localSheetId="164" hidden="1">'CENTRO DE EDUCAÇÃO INFANTIL CAS'!$B$8:$B$27</definedName>
    <definedName name="_xlnm.Print_Area" localSheetId="164">'CENTRO DE EDUCAÇÃO INFANTIL CAS'!$A$1:$E$32</definedName>
    <definedName name="_xlnm._FilterDatabase" localSheetId="165" hidden="1">'CEI PRIMEIRA INFÂNCIA'!$B$8:$B$27</definedName>
    <definedName name="_xlnm.Print_Area" localSheetId="165">'CEI PRIMEIRA INFÂNCIA'!$A$1:$E$32</definedName>
    <definedName name="_xlnm._FilterDatabase" localSheetId="166" hidden="1">'CEI PROFª DORA KILLER'!$B$8:$B$27</definedName>
    <definedName name="_xlnm.Print_Area" localSheetId="166">'CEI PROFª DORA KILLER'!$A$1:$E$32</definedName>
    <definedName name="_xlnm._FilterDatabase" localSheetId="167" hidden="1">'CEI PROFª PATRÍCIA FERREIRA E S'!$B$8:$B$27</definedName>
    <definedName name="_xlnm.Print_Area" localSheetId="167">'CEI PROFª PATRÍCIA FERREIRA E S'!$A$1:$E$32</definedName>
    <definedName name="_xlnm._FilterDatabase" localSheetId="168" hidden="1">'CEI DRA ZILDA ARNS NEUMANN'!$B$8:$B$27</definedName>
    <definedName name="_xlnm.Print_Area" localSheetId="168">'CEI DRA ZILDA ARNS NEUMANN'!$A$1:$E$32</definedName>
    <definedName name="_xlnm._FilterDatabase" localSheetId="169" hidden="1">'CEI DENISE BESSA DE OLIVA MAYA'!$B$8:$B$27</definedName>
    <definedName name="_xlnm.Print_Area" localSheetId="169">'CEI DENISE BESSA DE OLIVA MAYA'!$A$1:$E$32</definedName>
    <definedName name="_xlnm._FilterDatabase" localSheetId="170" hidden="1">'CEI GIUSEPPE-NEVA VOLONTERIO'!$B$8:$B$27</definedName>
    <definedName name="_xlnm.Print_Area" localSheetId="170">'CEI GIUSEPPE-NEVA VOLONTERIO'!$A$1:$E$32</definedName>
    <definedName name="_xlnm._FilterDatabase" localSheetId="171" hidden="1">'CENTRO DE EDUCAÇÃO INFANTIL LOT'!$B$8:$B$27</definedName>
    <definedName name="_xlnm.Print_Area" localSheetId="171">'CENTRO DE EDUCAÇÃO INFANTIL LOT'!$A$1:$E$32</definedName>
    <definedName name="_xlnm._FilterDatabase" localSheetId="172" hidden="1">'CEI IRINEU MARINHO'!$B$8:$B$27</definedName>
    <definedName name="_xlnm.Print_Area" localSheetId="172">'CEI IRINEU MARINHO'!$A$1:$E$32</definedName>
    <definedName name="_xlnm._FilterDatabase" localSheetId="173" hidden="1">'CEI OSWALDO CRUZ'!$B$8:$B$27</definedName>
    <definedName name="_xlnm.Print_Area" localSheetId="173">'CEI OSWALDO CRUZ'!$A$1:$E$32</definedName>
    <definedName name="_xlnm._FilterDatabase" localSheetId="174" hidden="1">'CEI ANA CAROLINA TELLES'!$B$8:$B$27</definedName>
    <definedName name="_xlnm.Print_Area" localSheetId="174">'CEI ANA CAROLINA TELLES'!$A$1:$E$32</definedName>
    <definedName name="_xlnm._FilterDatabase" localSheetId="175" hidden="1">'CEI JOSÉ GONÇALVES DA MOTTA'!$B$8:$B$27</definedName>
    <definedName name="_xlnm.Print_Area" localSheetId="175">'CEI JOSÉ GONÇALVES DA MOTTA'!$A$1:$E$32</definedName>
    <definedName name="_xlnm._FilterDatabase" localSheetId="176" hidden="1">'CEI SAGRADA FAMÍLIA'!$B$8:$B$27</definedName>
    <definedName name="_xlnm.Print_Area" localSheetId="176">'CEI SAGRADA FAMÍLIA'!$A$1:$E$32</definedName>
    <definedName name="_xlnm._FilterDatabase" localSheetId="177" hidden="1">'CEI PROFª HERMÍNIA MATHEUS'!$B$8:$B$27</definedName>
    <definedName name="_xlnm.Print_Area" localSheetId="177">'CEI PROFª HERMÍNIA MATHEUS'!$A$1:$E$32</definedName>
    <definedName name="_xlnm._FilterDatabase" localSheetId="178" hidden="1">'CENTRO DE EDUCAÇÃO INFANTIL PRO'!$B$8:$B$27</definedName>
    <definedName name="_xlnm.Print_Area" localSheetId="178">'CENTRO DE EDUCAÇÃO INFANTIL PRO'!$A$1:$E$32</definedName>
    <definedName name="_xlnm._FilterDatabase" localSheetId="179" hidden="1">'CEI MONSENHOR PAULO ELIAS DAHER'!$B$8:$B$27</definedName>
    <definedName name="_xlnm.Print_Area" localSheetId="179">'CEI MONSENHOR PAULO ELIAS DAHER'!$A$1:$E$32</definedName>
    <definedName name="_xlnm._FilterDatabase" localSheetId="180" hidden="1">'CEI DAGMAR ROLANDO DE OLIVEIRA'!$B$8:$B$27</definedName>
    <definedName name="_xlnm.Print_Area" localSheetId="180">'CEI DAGMAR ROLANDO DE OLIVEIRA'!$A$1:$E$32</definedName>
    <definedName name="_xlnm._FilterDatabase" localSheetId="181" hidden="1">'CENTRO DE EDUCAÇÃO INFANTIL  2'!$B$8:$B$27</definedName>
    <definedName name="_xlnm.Print_Area" localSheetId="181">'CENTRO DE EDUCAÇÃO INFANTIL  2'!$A$1:$E$32</definedName>
    <definedName name="_xlnm._FilterDatabase" localSheetId="182" hidden="1">'CEI BOA VISTA'!$B$8:$B$27</definedName>
    <definedName name="_xlnm.Print_Area" localSheetId="182">'CEI BOA VISTA'!$A$1:$E$32</definedName>
    <definedName name="_xlnm._FilterDatabase" localSheetId="183" hidden="1">'CEI NILO PEÇANHA'!$B$8:$B$27</definedName>
    <definedName name="_xlnm.Print_Area" localSheetId="183">'CEI NILO PEÇANHA'!$A$1:$E$32</definedName>
    <definedName name="_xlnm._FilterDatabase" localSheetId="184" hidden="1">'CENTRO DE EDUCAÇÃO INFANTIL AUG'!$B$8:$B$27</definedName>
    <definedName name="_xlnm.Print_Area" localSheetId="184">'CENTRO DE EDUCAÇÃO INFANTIL AUG'!$A$1:$E$32</definedName>
    <definedName name="_xlnm._FilterDatabase" localSheetId="185" hidden="1">'CEI THEREZINHA DE JESUS LIMA'!$B$8:$B$27</definedName>
    <definedName name="_xlnm.Print_Area" localSheetId="185">'CEI THEREZINHA DE JESUS LIMA'!$A$1:$E$32</definedName>
    <definedName name="_xlnm._FilterDatabase" localSheetId="186" hidden="1">'CEI VIDEIRINHA'!$B$8:$B$27</definedName>
    <definedName name="_xlnm.Print_Area" localSheetId="186">'CEI VIDEIRINHA'!$A$1:$E$32</definedName>
    <definedName name="_xlnm._FilterDatabase" localSheetId="187" hidden="1">'CEI PROFª ADRIANA CONSTÂNCIO TR'!$B$8:$B$27</definedName>
    <definedName name="_xlnm.Print_Area" localSheetId="187">'CEI PROFª ADRIANA CONSTÂNCIO TR'!$A$1:$E$32</definedName>
    <definedName name="_xlnm._FilterDatabase" localSheetId="188" hidden="1">'CENTRO DE EDUCAÇÃO INFANTIL SÉR'!$B$8:$B$27</definedName>
    <definedName name="_xlnm.Print_Area" localSheetId="188">'CENTRO DE EDUCAÇÃO INFANTIL SÉR'!$A$1:$E$32</definedName>
    <definedName name="_xlnm._FilterDatabase" localSheetId="189" hidden="1">'CEI JURACI PINTO DO AMARAL DE C'!$B$8:$B$27</definedName>
    <definedName name="_xlnm.Print_Area" localSheetId="189">'CEI JURACI PINTO DO AMARAL DE C'!$A$1:$E$32</definedName>
    <definedName name="_xlnm._FilterDatabase" localSheetId="190" hidden="1">'CEI NOSSA SENHORA DA GLÓRIA'!$B$8:$B$27</definedName>
    <definedName name="_xlnm.Print_Area" localSheetId="190">'CEI NOSSA SENHORA DA GLÓRIA'!$A$1:$E$32</definedName>
    <definedName name="_xlnm._FilterDatabase" localSheetId="191" hidden="1">'CEI ALTO INDEPENDÊNCIA'!$B$8:$B$27</definedName>
    <definedName name="_xlnm.Print_Area" localSheetId="191">'CEI ALTO INDEPENDÊNCIA'!$A$1:$E$32</definedName>
    <definedName name="_xlnm._FilterDatabase" localSheetId="192" hidden="1">'CEI SÃO JOSÉ DAS OBLATAS DE NAZ'!$B$8:$B$27</definedName>
    <definedName name="_xlnm.Print_Area" localSheetId="192">'CEI SÃO JOSÉ DAS OBLATAS DE NAZ'!$A$1:$E$32</definedName>
    <definedName name="_xlnm._FilterDatabase" localSheetId="193" hidden="1">'CEI SANTO ANTÔNIO AGOSTINHO'!$B$8:$B$27</definedName>
    <definedName name="_xlnm.Print_Area" localSheetId="193">'CEI SANTO ANTÔNIO AGOSTINHO'!$A$1:$E$32</definedName>
    <definedName name="_xlnm._FilterDatabase" localSheetId="194" hidden="1">'CEI SÃO CHARBEL'!$B$8:$B$27</definedName>
    <definedName name="_xlnm.Print_Area" localSheetId="194">'CEI SÃO CHARBEL'!$A$1:$E$32</definedName>
    <definedName name="_xlnm._FilterDatabase" localSheetId="195" hidden="1">'ASSOCIAÇÃO DA CRECHE SÃO FRANCI'!$B$8:$B$27</definedName>
    <definedName name="_xlnm.Print_Area" localSheetId="195">'ASSOCIAÇÃO DA CRECHE SÃO FRANCI'!$A$1:$E$32</definedName>
    <definedName name="_xlnm._FilterDatabase" localSheetId="196" hidden="1">'CEI SÃO JOSÉ DO ITAMARATI'!$B$8:$B$27</definedName>
    <definedName name="_xlnm.Print_Area" localSheetId="196">'CEI SÃO JOSÉ DO ITAMARATI'!$A$1:$E$32</definedName>
    <definedName name="_xlnm._FilterDatabase" localSheetId="197" hidden="1">'ASSOCIAÇÃO RECREAR'!$B$8:$B$27</definedName>
    <definedName name="_xlnm.Print_Area" localSheetId="197">'ASSOCIAÇÃO RECREAR'!$A$1:$E$32</definedName>
    <definedName name="_xlnm._FilterDatabase" localSheetId="198" hidden="1">'CRECHE-ESCOLA CASTELO SÃO MANOE'!$B$8:$B$27</definedName>
    <definedName name="_xlnm.Print_Area" localSheetId="198">'CRECHE-ESCOLA CASTELO SÃO MANOE'!$A$1:$E$32</definedName>
    <definedName name="_xlnm._FilterDatabase" localSheetId="199" hidden="1">'CENTRO DE EDUCAÇÃO INFANTIL SÃO'!$B$8:$B$27</definedName>
    <definedName name="_xlnm.Print_Area" localSheetId="199">'CENTRO DE EDUCAÇÃO INFANTIL SÃO'!$A$1:$E$32</definedName>
    <definedName name="_xlnm._FilterDatabase" localSheetId="200" hidden="1">'PROD - Ana C. C. R. Souza'!$C$5:$C$24</definedName>
    <definedName name="_xlnm.Print_Area" localSheetId="200">'PROD - Ana C. C. R. Souza'!$A$1:$I$31</definedName>
    <definedName name="_xlnm._FilterDatabase" localSheetId="201" hidden="1">'PROD - Anderson Mello Quimas'!$C$5:$C$24</definedName>
    <definedName name="_xlnm.Print_Area" localSheetId="201">'PROD - Anderson Mello Quimas'!$A$1:$I$31</definedName>
    <definedName name="_xlnm._FilterDatabase" localSheetId="202" hidden="1">'PROD - Armando Jose Silva'!$C$5:$C$24</definedName>
    <definedName name="_xlnm.Print_Area" localSheetId="202">'PROD - Armando Jose Silva'!$A$1:$I$31</definedName>
    <definedName name="_xlnm._FilterDatabase" localSheetId="203" hidden="1">'PROD - Arnaldo Silva'!$C$5:$C$24</definedName>
    <definedName name="_xlnm.Print_Area" localSheetId="203">'PROD - Arnaldo Silva'!$A$1:$I$31</definedName>
    <definedName name="_xlnm._FilterDatabase" localSheetId="204" hidden="1">'PROD - Claudeni R. Xavier'!$C$5:$C$24</definedName>
    <definedName name="_xlnm.Print_Area" localSheetId="204">'PROD - Claudeni R. Xavier'!$A$1:$I$31</definedName>
    <definedName name="_xlnm._FilterDatabase" localSheetId="205" hidden="1">'PROD - Edson Jose Silva'!$C$5:$C$24</definedName>
    <definedName name="_xlnm.Print_Area" localSheetId="205">'PROD - Edson Jose Silva'!$A$1:$I$31</definedName>
    <definedName name="_xlnm._FilterDatabase" localSheetId="206" hidden="1">'PROD - Gabriel Adriano Souza'!$C$5:$C$24</definedName>
    <definedName name="_xlnm.Print_Area" localSheetId="206">'PROD - Gabriel Adriano Souza'!$A$1:$I$31</definedName>
    <definedName name="_xlnm._FilterDatabase" localSheetId="207" hidden="1">'PROD - Gustavo Mello Rodrigues'!$C$5:$C$24</definedName>
    <definedName name="_xlnm.Print_Area" localSheetId="207">'PROD - Gustavo Mello Rodrigues'!$A$1:$I$31</definedName>
    <definedName name="_xlnm._FilterDatabase" localSheetId="208" hidden="1">'PROD - Joaquim Sergio Lage'!$C$5:$C$24</definedName>
    <definedName name="_xlnm.Print_Area" localSheetId="208">'PROD - Joaquim Sergio Lage'!$A$1:$I$31</definedName>
    <definedName name="_xlnm._FilterDatabase" localSheetId="209" hidden="1">'PROD - Jorge G. P. Diniz'!$C$5:$C$24</definedName>
    <definedName name="_xlnm.Print_Area" localSheetId="209">'PROD - Jorge G. P. Diniz'!$A$1:$I$31</definedName>
    <definedName name="_xlnm._FilterDatabase" localSheetId="210" hidden="1">'PROD - Jose G. S. Mello'!$C$5:$C$24</definedName>
    <definedName name="_xlnm.Print_Area" localSheetId="210">'PROD - Jose G. S. Mello'!$A$1:$I$31</definedName>
    <definedName name="_xlnm._FilterDatabase" localSheetId="211" hidden="1">'PROD - Jose Rodrigues Melo'!$C$5:$C$24</definedName>
    <definedName name="_xlnm.Print_Area" localSheetId="211">'PROD - Jose Rodrigues Melo'!$A$1:$I$31</definedName>
    <definedName name="_xlnm._FilterDatabase" localSheetId="212" hidden="1">'PROD - Lucio Mauro Felix Silva'!$C$5:$C$24</definedName>
    <definedName name="_xlnm.Print_Area" localSheetId="212">'PROD - Lucio Mauro Felix Silva'!$A$1:$I$31</definedName>
    <definedName name="_xlnm._FilterDatabase" localSheetId="213" hidden="1">'PROD - Luiz A. O. Pinto'!$C$5:$C$24</definedName>
    <definedName name="_xlnm.Print_Area" localSheetId="213">'PROD - Luiz A. O. Pinto'!$A$1:$I$31</definedName>
    <definedName name="_xlnm._FilterDatabase" localSheetId="214" hidden="1">'PROD - Marcelo Marcos Delgado'!$C$5:$C$24</definedName>
    <definedName name="_xlnm.Print_Area" localSheetId="214">'PROD - Marcelo Marcos Delgado'!$A$1:$I$31</definedName>
    <definedName name="_xlnm._FilterDatabase" localSheetId="215" hidden="1">'PROD - Marcio Azevedo Souza'!$C$5:$C$24</definedName>
    <definedName name="_xlnm.Print_Area" localSheetId="215">'PROD - Marcio Azevedo Souza'!$A$1:$I$31</definedName>
    <definedName name="_xlnm._FilterDatabase" localSheetId="216" hidden="1">'PROD - Marco Antonio Coelho'!$C$5:$C$24</definedName>
    <definedName name="_xlnm.Print_Area" localSheetId="216">'PROD - Marco Antonio Coelho'!$A$1:$I$31</definedName>
    <definedName name="_xlnm._FilterDatabase" localSheetId="217" hidden="1">'PROD - Marcos Marcelo Delgado'!$C$5:$C$24</definedName>
    <definedName name="_xlnm.Print_Area" localSheetId="217">'PROD - Marcos Marcelo Delgado'!$A$1:$I$31</definedName>
    <definedName name="_xlnm._FilterDatabase" localSheetId="218" hidden="1">'PROD - Miguel Fernando Almeida'!$C$5:$C$24</definedName>
    <definedName name="_xlnm.Print_Area" localSheetId="218">'PROD - Miguel Fernando Almeida'!$A$1:$I$31</definedName>
    <definedName name="_xlnm._FilterDatabase" localSheetId="219" hidden="1">'PROD - Nilson Ferreira Silva'!$C$5:$C$24</definedName>
    <definedName name="_xlnm.Print_Area" localSheetId="219">'PROD - Nilson Ferreira Silva'!$A$1:$I$31</definedName>
    <definedName name="_xlnm._FilterDatabase" localSheetId="220" hidden="1">'PROD - Renato Jose Silva'!$C$5:$C$24</definedName>
    <definedName name="_xlnm.Print_Area" localSheetId="220">'PROD - Renato Jose Silva'!$A$1:$I$31</definedName>
    <definedName name="_xlnm._FilterDatabase" localSheetId="221" hidden="1">'PROD - Rodolfo Azevedo Andrade'!$C$5:$C$24</definedName>
    <definedName name="_xlnm.Print_Area" localSheetId="221">'PROD - Rodolfo Azevedo Andrade'!$A$1:$I$31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quot;R$ &quot;#,##0.00"/>
    <numFmt numFmtId="165" formatCode="dd/mm/AAAA"/>
    <numFmt numFmtId="166" formatCode="0.00&quot; kg&quot;"/>
    <numFmt numFmtId="167" formatCode="DD/MM/AAAA"/>
  </numFmts>
  <fonts count="91">
    <font>
      <name val="Calibri"/>
      <charset val="1"/>
      <family val="2"/>
      <color theme="1"/>
      <sz val="11"/>
    </font>
    <font>
      <name val="Arial"/>
      <family val="0"/>
      <sz val="10"/>
    </font>
    <font>
      <name val="Arial"/>
      <family val="0"/>
      <sz val="10"/>
    </font>
    <font>
      <name val="Arial"/>
      <family val="0"/>
      <sz val="10"/>
    </font>
    <font>
      <name val="Cambria"/>
      <charset val="1"/>
      <family val="0"/>
      <b val="1"/>
      <color rgb="FF2E7D32"/>
      <sz val="16"/>
    </font>
    <font>
      <name val="Cambria"/>
      <charset val="1"/>
      <family val="0"/>
      <sz val="11"/>
    </font>
    <font>
      <name val="Cambria"/>
      <charset val="1"/>
      <family val="0"/>
      <b val="1"/>
      <color rgb="FF2E7D32"/>
      <sz val="12"/>
    </font>
    <font>
      <name val="Calibri"/>
      <charset val="1"/>
      <family val="0"/>
      <color rgb="FF1155CC"/>
      <sz val="11"/>
      <u val="single"/>
    </font>
    <font>
      <name val="Calibri"/>
      <charset val="1"/>
      <family val="0"/>
      <i val="1"/>
      <color rgb="FF666666"/>
      <sz val="10"/>
    </font>
    <font>
      <name val="Calibri"/>
      <charset val="1"/>
      <family val="0"/>
      <b val="1"/>
      <sz val="10.5"/>
    </font>
    <font>
      <name val="Calibri"/>
      <charset val="1"/>
      <family val="0"/>
      <color rgb="FF444444"/>
      <sz val="9.5"/>
    </font>
    <font>
      <name val="Cambria"/>
      <charset val="1"/>
      <family val="0"/>
      <b val="1"/>
      <color rgb="FFFFFFFF"/>
      <sz val="11"/>
    </font>
    <font>
      <name val="Cambria"/>
      <charset val="1"/>
      <family val="0"/>
      <b val="1"/>
      <sz val="9.5"/>
    </font>
    <font>
      <name val="Calibri"/>
      <charset val="1"/>
      <family val="0"/>
      <sz val="9.5"/>
    </font>
    <font>
      <name val="Calibri"/>
      <charset val="1"/>
      <family val="0"/>
      <color rgb="FF1155CC"/>
      <sz val="9.5"/>
    </font>
    <font>
      <name val="Calibri"/>
      <charset val="1"/>
      <family val="0"/>
      <b val="1"/>
      <color rgb="FF1B5E20"/>
      <sz val="10"/>
    </font>
    <font>
      <name val="Cambria"/>
      <charset val="1"/>
      <family val="0"/>
      <b val="1"/>
      <color rgb="FFFFFFFF"/>
      <sz val="12"/>
    </font>
    <font>
      <name val="Cambria"/>
      <charset val="1"/>
      <family val="0"/>
      <b val="1"/>
      <color rgb="FFFFFFFF"/>
      <sz val="10"/>
    </font>
    <font>
      <name val="Calibri"/>
      <charset val="1"/>
      <family val="0"/>
      <sz val="10"/>
    </font>
    <font>
      <name val="Calibri"/>
      <charset val="1"/>
      <family val="0"/>
      <color rgb="FF1155CC"/>
      <sz val="10"/>
      <u val="single"/>
    </font>
    <font>
      <name val="Calibri"/>
      <charset val="1"/>
      <family val="0"/>
      <b val="1"/>
      <sz val="10"/>
    </font>
    <font>
      <name val="Calibri"/>
      <charset val="1"/>
      <family val="0"/>
      <color rgb="FF1155CC"/>
      <sz val="9"/>
      <u val="single"/>
    </font>
    <font>
      <name val="Cambria"/>
      <charset val="1"/>
      <family val="0"/>
      <b val="1"/>
      <color rgb="FF2E7D32"/>
      <sz val="18"/>
    </font>
    <font>
      <name val="Calibri"/>
      <charset val="1"/>
      <family val="0"/>
      <i val="1"/>
      <color rgb="FF1155CC"/>
      <sz val="10"/>
      <u val="single"/>
    </font>
    <font>
      <name val="Cambria"/>
      <charset val="1"/>
      <family val="0"/>
      <b val="1"/>
      <color rgb="FFFFFFFF"/>
      <sz val="13"/>
    </font>
    <font>
      <name val="Cambria"/>
      <charset val="1"/>
      <family val="0"/>
      <b val="1"/>
      <color rgb="FFFFFFFF"/>
      <sz val="14"/>
    </font>
    <font>
      <name val="Cambria"/>
      <charset val="1"/>
      <family val="0"/>
      <b val="1"/>
      <color rgb="FFFFFFFF"/>
      <sz val="18"/>
    </font>
    <font>
      <name val="Calibri"/>
      <charset val="1"/>
      <family val="0"/>
      <b val="1"/>
      <i val="1"/>
      <sz val="10"/>
    </font>
    <font>
      <name val="Calibri"/>
      <charset val="1"/>
      <family val="0"/>
      <b val="1"/>
      <sz val="11"/>
    </font>
    <font>
      <name val="Calibri"/>
      <charset val="1"/>
      <family val="0"/>
      <b val="1"/>
      <color rgb="FF1B4A22"/>
      <sz val="12"/>
    </font>
    <font>
      <name val="Calibri"/>
      <charset val="1"/>
      <family val="0"/>
      <i val="1"/>
      <color rgb="FF555555"/>
      <sz val="9"/>
    </font>
    <font>
      <name val="Cambria"/>
      <charset val="1"/>
      <family val="0"/>
      <b val="1"/>
      <color rgb="FFFFFFFF"/>
      <sz val="16"/>
    </font>
    <font>
      <name val="Cambria"/>
      <charset val="1"/>
      <family val="0"/>
      <b val="1"/>
      <color rgb="FFFFFFFF"/>
      <sz val="20"/>
    </font>
    <font>
      <name val="Cambria"/>
      <charset val="1"/>
      <family val="0"/>
      <b val="1"/>
      <color rgb="FFFFFFFF"/>
      <sz val="9.5"/>
    </font>
    <font>
      <name val="Calibri"/>
      <charset val="1"/>
      <family val="0"/>
      <sz val="10.5"/>
    </font>
    <font>
      <name val="Calibri"/>
      <charset val="1"/>
      <family val="0"/>
      <i val="1"/>
      <color rgb="FFEFEFE0"/>
      <sz val="9.5"/>
    </font>
    <font>
      <name val="Calibri"/>
      <charset val="1"/>
      <family val="0"/>
      <b val="1"/>
      <color rgb="FF1B4F72"/>
      <sz val="9.5"/>
    </font>
    <font>
      <name val="Calibri"/>
      <charset val="1"/>
      <family val="0"/>
      <i val="1"/>
      <color rgb="FF8B3A2E"/>
      <sz val="10"/>
    </font>
    <font>
      <name val="Cambria"/>
      <charset val="1"/>
      <family val="0"/>
      <b val="1"/>
      <color rgb="FFFFFFFF"/>
      <sz val="9"/>
    </font>
    <font>
      <name val="Calibri"/>
      <charset val="1"/>
      <family val="0"/>
      <sz val="9"/>
    </font>
    <font>
      <name val="Calibri"/>
      <charset val="1"/>
      <family val="0"/>
      <b val="1"/>
      <sz val="9"/>
    </font>
    <font>
      <name val="Calibri"/>
      <charset val="1"/>
      <family val="0"/>
      <i val="1"/>
      <color rgb="FFCC0000"/>
      <sz val="9"/>
    </font>
    <font>
      <name val="Cambria"/>
      <charset val="1"/>
      <family val="0"/>
      <b val="1"/>
      <color rgb="FF2E7D32"/>
      <sz val="14"/>
    </font>
    <font>
      <name val="Calibri"/>
      <charset val="1"/>
      <family val="0"/>
      <sz val="11"/>
    </font>
    <font>
      <name val="Cambria"/>
      <charset val="1"/>
      <family val="0"/>
      <b val="1"/>
      <color rgb="FF2E7D32"/>
      <sz val="15"/>
    </font>
    <font>
      <name val="Cambria"/>
      <charset val="1"/>
      <family val="0"/>
      <b val="1"/>
      <sz val="12"/>
    </font>
    <font>
      <name val="Calibri"/>
      <charset val="1"/>
      <family val="0"/>
      <sz val="12"/>
    </font>
    <font>
      <name val="Cambria"/>
      <charset val="1"/>
      <family val="0"/>
      <b val="1"/>
      <color rgb="FFFFFFFF"/>
      <sz val="10.5"/>
    </font>
    <font>
      <name val="Cambria"/>
      <charset val="1"/>
      <family val="0"/>
      <color rgb="FFFFFFFF"/>
      <sz val="1"/>
    </font>
    <font>
      <name val="Calibri"/>
      <charset val="1"/>
      <family val="0"/>
      <i val="1"/>
      <color rgb="FF888888"/>
      <sz val="8.5"/>
    </font>
    <font>
      <name val="Calibri"/>
      <charset val="1"/>
      <family val="0"/>
      <b val="1"/>
      <sz val="12"/>
    </font>
    <font>
      <name val="Calibri"/>
      <charset val="1"/>
      <family val="0"/>
      <b val="1"/>
      <color theme="1"/>
      <sz val="12"/>
    </font>
    <font>
      <name val="Calibri"/>
      <charset val="1"/>
      <family val="0"/>
      <b val="1"/>
      <color rgb="FF2E7D32"/>
      <sz val="12"/>
    </font>
    <font>
      <name val="Cambria"/>
      <charset val="1"/>
      <family val="0"/>
      <b val="1"/>
      <sz val="11"/>
    </font>
    <font>
      <name val="Calibri"/>
      <b val="1"/>
      <i val="1"/>
      <sz val="10"/>
    </font>
    <font>
      <name val="Calibri"/>
      <b val="1"/>
      <sz val="10"/>
    </font>
    <font>
      <color rgb="FFFFFFFF"/>
      <sz val="1"/>
    </font>
    <font>
      <name val="Calibri"/>
      <i val="1"/>
      <color rgb="FF888888"/>
      <sz val="9"/>
    </font>
    <font>
      <name val="Calibri"/>
      <color rgb="FF888888"/>
      <sz val="9"/>
    </font>
    <font>
      <name val="Cambria"/>
      <b val="1"/>
      <sz val="11"/>
    </font>
    <font>
      <name val="Calibri"/>
      <sz val="11"/>
    </font>
    <font>
      <name val="Calibri"/>
      <color rgb="FF1155CC"/>
      <sz val="11"/>
    </font>
    <font>
      <b val="1"/>
      <sz val="11"/>
    </font>
    <font>
      <name val="Calibri"/>
      <i val="1"/>
      <color rgb="FF888888"/>
      <sz val="8"/>
    </font>
    <font>
      <name val="Cambria"/>
      <b val="1"/>
      <color rgb="FFFFFFFF"/>
      <sz val="10.5"/>
    </font>
    <font>
      <name val="Calibri"/>
      <sz val="10.5"/>
    </font>
    <font/>
    <font>
      <name val="Calibri"/>
      <b val="1"/>
      <sz val="10.5"/>
    </font>
    <font>
      <name val="Calibri"/>
      <i val="1"/>
      <color rgb="FF888888"/>
      <sz val="8.5"/>
    </font>
    <font>
      <name val="Cambria"/>
      <b val="1"/>
      <color rgb="FFFFFFFF"/>
      <sz val="9.5"/>
    </font>
    <font>
      <name val="Calibri"/>
      <sz val="9.5"/>
    </font>
    <font>
      <name val="Cambria"/>
      <b val="1"/>
      <color rgb="FF2E7D32"/>
      <sz val="16"/>
    </font>
    <font>
      <name val="Calibri"/>
      <i val="1"/>
      <color rgb="FF555555"/>
      <sz val="9"/>
    </font>
    <font>
      <name val="Calibri"/>
      <i val="1"/>
      <color rgb="FF1155CC"/>
      <sz val="10"/>
      <u val="single"/>
    </font>
    <font>
      <name val="Cambria"/>
      <b val="1"/>
      <color rgb="FF1B4A22"/>
      <sz val="12"/>
    </font>
    <font>
      <name val="Cambria"/>
      <b val="1"/>
      <color rgb="FF2E7D32"/>
      <sz val="12"/>
    </font>
    <font>
      <name val="Calibri"/>
      <b val="1"/>
      <sz val="11"/>
    </font>
    <font>
      <b val="1"/>
      <sz val="10.5"/>
    </font>
    <font>
      <name val="Calibri"/>
      <color rgb="FF444444"/>
      <sz val="9.5"/>
    </font>
    <font>
      <name val="Cambria"/>
      <b val="1"/>
      <color rgb="FF2E7D32"/>
      <sz val="11"/>
    </font>
    <font>
      <name val="Cambria"/>
      <b val="1"/>
      <color rgb="FF2E7D32"/>
      <sz val="13"/>
    </font>
    <font>
      <name val="Cambria"/>
      <b val="1"/>
      <sz val="12"/>
    </font>
    <font>
      <name val="Cambria"/>
      <b val="1"/>
      <color rgb="FFFFFFFF"/>
      <sz val="11"/>
    </font>
    <font>
      <name val="Calibri"/>
      <b val="1"/>
      <sz val="13"/>
    </font>
    <font>
      <name val="Cambria"/>
      <b val="1"/>
      <color rgb="FFFFFFFF"/>
      <sz val="13"/>
    </font>
    <font>
      <name val="Calibri"/>
      <i val="1"/>
      <color rgb="FF555555"/>
      <sz val="8.5"/>
    </font>
    <font>
      <name val="Calibri"/>
      <i val="1"/>
      <color rgb="FF1B4A22"/>
      <sz val="9"/>
    </font>
    <font>
      <name val="Calibri"/>
      <b val="1"/>
      <i val="1"/>
      <color rgb="FF1B4A22"/>
      <sz val="9"/>
    </font>
    <font>
      <b val="1"/>
      <sz val="10"/>
    </font>
    <font>
      <name val="Calibri"/>
      <b val="1"/>
      <color rgb="FFFFFFFF"/>
      <sz val="10.5"/>
    </font>
    <font>
      <b val="1"/>
      <color rgb="FF888888"/>
      <sz val="9"/>
    </font>
  </fonts>
  <fills count="19">
    <fill>
      <patternFill/>
    </fill>
    <fill>
      <patternFill patternType="gray125"/>
    </fill>
    <fill>
      <patternFill patternType="solid">
        <fgColor rgb="FF2E7D32"/>
        <bgColor rgb="FF4C8C4A"/>
      </patternFill>
    </fill>
    <fill>
      <patternFill patternType="solid">
        <fgColor rgb="FFFFF3CD"/>
        <bgColor rgb="FFFFF2CC"/>
      </patternFill>
    </fill>
    <fill>
      <patternFill patternType="solid">
        <fgColor rgb="FF4C8C4A"/>
        <bgColor rgb="FF2E7D32"/>
      </patternFill>
    </fill>
    <fill>
      <patternFill patternType="solid">
        <fgColor rgb="FFE8F5E9"/>
        <bgColor rgb="FFEFEFE0"/>
      </patternFill>
    </fill>
    <fill>
      <patternFill patternType="solid">
        <fgColor rgb="FF1B5E20"/>
        <bgColor rgb="FF2E5E38"/>
      </patternFill>
    </fill>
    <fill>
      <patternFill patternType="solid">
        <fgColor rgb="FFB8860B"/>
        <bgColor rgb="FF9C6500"/>
      </patternFill>
    </fill>
    <fill>
      <patternFill patternType="solid">
        <fgColor rgb="FF1B4A22"/>
        <bgColor rgb="FF274E13"/>
      </patternFill>
    </fill>
    <fill>
      <patternFill patternType="solid">
        <fgColor rgb="FF2E5E38"/>
        <bgColor rgb="FF1B5E20"/>
      </patternFill>
    </fill>
    <fill>
      <patternFill patternType="solid">
        <fgColor rgb="FFDCE6F5"/>
        <bgColor rgb="FFEDEDED"/>
      </patternFill>
    </fill>
    <fill>
      <patternFill patternType="solid">
        <fgColor rgb="FFF3E7BE"/>
        <bgColor rgb="FFFFF2CC"/>
      </patternFill>
    </fill>
    <fill>
      <patternFill patternType="solid">
        <fgColor rgb="FFFFFFFF"/>
        <bgColor rgb="FFE8F5E9"/>
      </patternFill>
    </fill>
    <fill>
      <patternFill patternType="solid">
        <fgColor rgb="FFC8E6C9"/>
        <bgColor rgb="FFE2F0D9"/>
      </patternFill>
    </fill>
    <fill>
      <patternFill patternType="solid">
        <fgColor rgb="FFE0E0E0"/>
      </patternFill>
    </fill>
    <fill>
      <patternFill patternType="solid">
        <fgColor rgb="FF2E7D32"/>
      </patternFill>
    </fill>
    <fill>
      <patternFill patternType="solid">
        <fgColor rgb="FFE8F5E9"/>
      </patternFill>
    </fill>
    <fill>
      <patternFill patternType="solid">
        <fgColor rgb="FF1B4A22"/>
      </patternFill>
    </fill>
    <fill>
      <patternFill patternType="solid">
        <fgColor rgb="FFFFF3CD"/>
      </patternFill>
    </fill>
  </fills>
  <borders count="23">
    <border>
      <left/>
      <right/>
      <top/>
      <bottom/>
      <diagonal/>
    </border>
    <border>
      <left style="thin"/>
      <right style="thin"/>
      <top style="thin"/>
      <bottom style="thin"/>
      <diagonal/>
    </border>
    <border>
      <left style="thin">
        <color rgb="FFBBBBBB"/>
      </left>
      <right style="thin">
        <color rgb="FFBBBBBB"/>
      </right>
      <top style="thin">
        <color rgb="FFBBBBBB"/>
      </top>
      <bottom style="thin">
        <color rgb="FFBBBBBB"/>
      </bottom>
      <diagonal/>
    </border>
    <border>
      <left style="thin">
        <color rgb="FFB0B0B0"/>
      </left>
      <right style="thin">
        <color rgb="FFB0B0B0"/>
      </right>
      <top style="thin">
        <color rgb="FFB0B0B0"/>
      </top>
      <bottom style="thin">
        <color rgb="FFB0B0B0"/>
      </bottom>
      <diagonal/>
    </border>
    <border>
      <left/>
      <right/>
      <top/>
      <bottom style="thin"/>
      <diagonal/>
    </border>
    <border>
      <left style="thin">
        <color rgb="FFD0D0D0"/>
      </left>
      <right style="thin">
        <color rgb="FFD0D0D0"/>
      </right>
      <top style="thin">
        <color rgb="FFD0D0D0"/>
      </top>
      <bottom style="thin">
        <color rgb="FFD0D0D0"/>
      </bottom>
      <diagonal/>
    </border>
    <border>
      <left/>
      <right/>
      <top style="thin">
        <color rgb="FFBBBBBB"/>
      </top>
      <bottom/>
      <diagonal/>
    </border>
    <border>
      <left/>
      <right style="thin">
        <color rgb="FFBBBBBB"/>
      </right>
      <top style="thin">
        <color rgb="FFBBBBBB"/>
      </top>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right/>
      <top style="thin">
        <color rgb="FFB0B0B0"/>
      </top>
      <bottom/>
      <diagonal/>
    </border>
    <border>
      <left/>
      <right style="thin">
        <color rgb="FFB0B0B0"/>
      </right>
      <top style="thin">
        <color rgb="FFB0B0B0"/>
      </top>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border>
      <left style="thin"/>
      <right style="thin"/>
      <top style="thin"/>
      <bottom style="thin"/>
    </border>
    <border>
      <bottom style="thin"/>
    </border>
    <border>
      <right/>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right/>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left" vertical="center"/>
    </xf>
    <xf numFmtId="0" fontId="5" fillId="0" borderId="0" applyAlignment="1" pivotButton="0" quotePrefix="0" xfId="0">
      <alignment horizontal="left" vertical="center" wrapText="1"/>
    </xf>
    <xf numFmtId="0" fontId="10" fillId="0" borderId="0" applyAlignment="1" pivotButton="0" quotePrefix="0" xfId="0">
      <alignment horizontal="general" vertical="top" wrapText="1"/>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5" fillId="0" borderId="0" applyAlignment="1" pivotButton="0" quotePrefix="0" xfId="0">
      <alignment horizontal="general" vertical="top" wrapText="1"/>
    </xf>
    <xf numFmtId="0" fontId="11" fillId="2" borderId="1" applyAlignment="1" pivotButton="0" quotePrefix="0" xfId="0">
      <alignment horizontal="center" vertical="center"/>
    </xf>
    <xf numFmtId="0" fontId="5" fillId="0" borderId="1" applyAlignment="1" pivotButton="0" quotePrefix="0" xfId="0">
      <alignment horizontal="left" vertical="center"/>
    </xf>
    <xf numFmtId="0" fontId="12" fillId="0" borderId="1" applyAlignment="1" pivotButton="0" quotePrefix="0" xfId="0">
      <alignment horizontal="center"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1" applyAlignment="1" pivotButton="0" quotePrefix="0" xfId="0">
      <alignment horizontal="left" vertical="center"/>
    </xf>
    <xf numFmtId="0" fontId="5" fillId="0" borderId="1" applyAlignment="1" pivotButton="0" quotePrefix="0" xfId="0">
      <alignment horizontal="general" vertical="bottom"/>
    </xf>
    <xf numFmtId="0" fontId="11" fillId="2" borderId="1" applyAlignment="1" pivotButton="0" quotePrefix="0" xfId="0">
      <alignment horizontal="general" vertical="bottom"/>
    </xf>
    <xf numFmtId="0" fontId="0" fillId="0" borderId="1" applyAlignment="1" pivotButton="0" quotePrefix="0" xfId="0">
      <alignment horizontal="general" vertical="bottom"/>
    </xf>
    <xf numFmtId="0" fontId="15" fillId="0" borderId="0" applyAlignment="1" pivotButton="0" quotePrefix="0" xfId="0">
      <alignment horizontal="general" vertical="bottom"/>
    </xf>
    <xf numFmtId="164" fontId="15" fillId="3" borderId="2" applyAlignment="1" applyProtection="1" pivotButton="0" quotePrefix="0" xfId="0">
      <alignment horizontal="center" vertical="center"/>
      <protection locked="0" hidden="0"/>
    </xf>
    <xf numFmtId="0" fontId="16" fillId="2" borderId="0" applyAlignment="1" pivotButton="0" quotePrefix="0" xfId="0">
      <alignment horizontal="left" vertical="center" indent="1"/>
    </xf>
    <xf numFmtId="0" fontId="17" fillId="4" borderId="2" applyAlignment="1" pivotButton="0" quotePrefix="0" xfId="0">
      <alignment horizontal="center" vertical="center"/>
    </xf>
    <xf numFmtId="0" fontId="18" fillId="0" borderId="2" applyAlignment="1" pivotButton="0" quotePrefix="0" xfId="0">
      <alignment horizontal="center" vertical="center"/>
    </xf>
    <xf numFmtId="0" fontId="19" fillId="0" borderId="2" applyAlignment="1" pivotButton="0" quotePrefix="0" xfId="0">
      <alignment horizontal="left" vertical="center"/>
    </xf>
    <xf numFmtId="2" fontId="18" fillId="0" borderId="2" applyAlignment="1" applyProtection="1" pivotButton="0" quotePrefix="0" xfId="0">
      <alignment horizontal="center" vertical="center"/>
      <protection locked="0" hidden="0"/>
    </xf>
    <xf numFmtId="0" fontId="20" fillId="5" borderId="2" applyAlignment="1" pivotButton="0" quotePrefix="0" xfId="0">
      <alignment horizontal="center" vertical="center"/>
    </xf>
    <xf numFmtId="0" fontId="20" fillId="5" borderId="2" applyAlignment="1" pivotButton="0" quotePrefix="0" xfId="0">
      <alignment horizontal="left" vertical="center"/>
    </xf>
    <xf numFmtId="2" fontId="20" fillId="5" borderId="2" applyAlignment="1" pivotButton="0" quotePrefix="0" xfId="0">
      <alignment horizontal="center" vertical="center"/>
    </xf>
    <xf numFmtId="0" fontId="0" fillId="2" borderId="0" applyAlignment="1" pivotButton="0" quotePrefix="0" xfId="0">
      <alignment horizontal="general" vertical="bottom"/>
    </xf>
    <xf numFmtId="0" fontId="18" fillId="0" borderId="2" applyAlignment="1" pivotButton="0" quotePrefix="0" xfId="0">
      <alignment horizontal="left" vertical="center"/>
    </xf>
    <xf numFmtId="2" fontId="18" fillId="0" borderId="2" applyAlignment="1" pivotButton="0" quotePrefix="0" xfId="0">
      <alignment horizontal="center" vertical="center"/>
    </xf>
    <xf numFmtId="2" fontId="20" fillId="0" borderId="2" applyAlignment="1" pivotButton="0" quotePrefix="0" xfId="0">
      <alignment horizontal="center" vertical="center"/>
    </xf>
    <xf numFmtId="0" fontId="16" fillId="2" borderId="2" applyAlignment="1" pivotButton="0" quotePrefix="0" xfId="0">
      <alignment horizontal="left" vertical="center" indent="1"/>
    </xf>
    <xf numFmtId="2" fontId="20" fillId="2" borderId="2" applyAlignment="1" pivotButton="0" quotePrefix="0" xfId="0">
      <alignment horizontal="center" vertical="center"/>
    </xf>
    <xf numFmtId="2" fontId="17" fillId="4" borderId="2" applyAlignment="1" pivotButton="0" quotePrefix="0" xfId="0">
      <alignment horizontal="center" vertical="center"/>
    </xf>
    <xf numFmtId="0" fontId="21" fillId="0" borderId="2" applyAlignment="1" pivotButton="0" quotePrefix="0" xfId="0">
      <alignment horizontal="center" vertical="center"/>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24" fillId="2" borderId="0" applyAlignment="1" pivotButton="0" quotePrefix="0" xfId="0">
      <alignment horizontal="left" vertical="center" indent="1"/>
    </xf>
    <xf numFmtId="2" fontId="18" fillId="0" borderId="2" applyAlignment="1" pivotButton="0" quotePrefix="0" xfId="0">
      <alignment horizontal="right" vertical="center"/>
    </xf>
    <xf numFmtId="164" fontId="18" fillId="0" borderId="2" applyAlignment="1" pivotButton="0" quotePrefix="0" xfId="0">
      <alignment horizontal="right" vertical="center"/>
    </xf>
    <xf numFmtId="2" fontId="20" fillId="5" borderId="2" applyAlignment="1" pivotButton="0" quotePrefix="0" xfId="0">
      <alignment horizontal="right" vertical="center"/>
    </xf>
    <xf numFmtId="0" fontId="20" fillId="5" borderId="2" applyAlignment="1" pivotButton="0" quotePrefix="0" xfId="0">
      <alignment horizontal="right" vertical="center"/>
    </xf>
    <xf numFmtId="164" fontId="20" fillId="5" borderId="2" applyAlignment="1" pivotButton="0" quotePrefix="0" xfId="0">
      <alignment horizontal="right" vertical="center"/>
    </xf>
    <xf numFmtId="1" fontId="18" fillId="0" borderId="2" applyAlignment="1" pivotButton="0" quotePrefix="0" xfId="0">
      <alignment horizontal="right" vertical="center"/>
    </xf>
    <xf numFmtId="0" fontId="16" fillId="6" borderId="0" applyAlignment="1" pivotButton="0" quotePrefix="0" xfId="0">
      <alignment horizontal="left" vertical="center" indent="1"/>
    </xf>
    <xf numFmtId="164" fontId="25" fillId="6" borderId="0" applyAlignment="1" pivotButton="0" quotePrefix="0" xfId="0">
      <alignment horizontal="right" vertical="center" indent="1"/>
    </xf>
    <xf numFmtId="0" fontId="16" fillId="7" borderId="0" applyAlignment="1" pivotButton="0" quotePrefix="0" xfId="0">
      <alignment horizontal="left" vertical="center" indent="1"/>
    </xf>
    <xf numFmtId="164" fontId="26" fillId="7" borderId="0" applyAlignment="1" pivotButton="0" quotePrefix="0" xfId="0">
      <alignment horizontal="right" vertical="center" indent="1"/>
    </xf>
    <xf numFmtId="0" fontId="27" fillId="0" borderId="0" applyAlignment="1" pivotButton="0" quotePrefix="0" xfId="0">
      <alignment horizontal="general" vertical="bottom"/>
    </xf>
    <xf numFmtId="0" fontId="20" fillId="0" borderId="0" applyAlignment="1" pivotButton="0" quotePrefix="0" xfId="0">
      <alignment horizontal="center" vertical="bottom"/>
    </xf>
    <xf numFmtId="0" fontId="9" fillId="0" borderId="0" applyAlignment="1" pivotButton="0" quotePrefix="0" xfId="0">
      <alignment horizontal="general" vertical="bottom"/>
    </xf>
    <xf numFmtId="0" fontId="20" fillId="0" borderId="0" applyAlignment="1" pivotButton="0" quotePrefix="0" xfId="0">
      <alignment horizontal="general" vertical="bottom"/>
    </xf>
    <xf numFmtId="0" fontId="27" fillId="0" borderId="0" applyAlignment="1" pivotButton="0" quotePrefix="0" xfId="0">
      <alignment horizontal="general" vertical="bottom"/>
    </xf>
    <xf numFmtId="0" fontId="20" fillId="0" borderId="0" applyAlignment="1" pivotButton="0" quotePrefix="0" xfId="0">
      <alignment horizontal="general" vertical="bottom"/>
    </xf>
    <xf numFmtId="164" fontId="20" fillId="0" borderId="0" applyAlignment="1" pivotButton="0" quotePrefix="0" xfId="0">
      <alignment horizontal="general" vertical="bottom"/>
    </xf>
    <xf numFmtId="0" fontId="28" fillId="5" borderId="0" applyAlignment="1" pivotButton="0" quotePrefix="0" xfId="0">
      <alignment horizontal="general" vertical="bottom"/>
    </xf>
    <xf numFmtId="164" fontId="29" fillId="5" borderId="0" applyAlignment="1" pivotButton="0" quotePrefix="0" xfId="0">
      <alignment horizontal="general" vertical="bottom"/>
    </xf>
    <xf numFmtId="0" fontId="30" fillId="0" borderId="0" applyAlignment="1" pivotButton="0" quotePrefix="0" xfId="0">
      <alignment horizontal="general" vertical="bottom"/>
    </xf>
    <xf numFmtId="164" fontId="25" fillId="6" borderId="0" applyAlignment="1" pivotButton="0" quotePrefix="0" xfId="0">
      <alignment horizontal="right" vertical="center" indent="1"/>
    </xf>
    <xf numFmtId="164" fontId="25" fillId="7" borderId="0" applyAlignment="1" pivotButton="0" quotePrefix="0" xfId="0">
      <alignment horizontal="right" vertical="center" indent="1"/>
    </xf>
    <xf numFmtId="0" fontId="18" fillId="0" borderId="2" applyAlignment="1" pivotButton="0" quotePrefix="0" xfId="0">
      <alignment horizontal="left" vertical="center" indent="1"/>
    </xf>
    <xf numFmtId="164" fontId="18" fillId="3" borderId="2" applyAlignment="1" pivotButton="0" quotePrefix="0" xfId="0">
      <alignment horizontal="right" vertical="center" indent="1"/>
    </xf>
    <xf numFmtId="0" fontId="20" fillId="5" borderId="2" applyAlignment="1" pivotButton="0" quotePrefix="0" xfId="0">
      <alignment horizontal="left" vertical="center" indent="1"/>
    </xf>
    <xf numFmtId="164" fontId="20" fillId="5" borderId="2" applyAlignment="1" pivotButton="0" quotePrefix="0" xfId="0">
      <alignment horizontal="right" vertical="center" indent="1"/>
    </xf>
    <xf numFmtId="0" fontId="31" fillId="6" borderId="0" applyAlignment="1" pivotButton="0" quotePrefix="0" xfId="0">
      <alignment horizontal="left" vertical="center" indent="1"/>
    </xf>
    <xf numFmtId="164" fontId="32" fillId="6" borderId="0" applyAlignment="1" pivotButton="0" quotePrefix="0" xfId="0">
      <alignment horizontal="right" vertical="center" indent="1"/>
    </xf>
    <xf numFmtId="0" fontId="20" fillId="4" borderId="1" applyAlignment="1" pivotButton="0" quotePrefix="0" xfId="0">
      <alignment horizontal="left" vertical="center" indent="1"/>
    </xf>
    <xf numFmtId="0" fontId="20" fillId="0" borderId="1" applyAlignment="1" pivotButton="0" quotePrefix="0" xfId="0">
      <alignment horizontal="general" vertical="bottom"/>
    </xf>
    <xf numFmtId="0" fontId="20" fillId="4" borderId="1" applyAlignment="1" pivotButton="0" quotePrefix="0" xfId="0">
      <alignment horizontal="center" vertical="center"/>
    </xf>
    <xf numFmtId="0" fontId="18" fillId="0" borderId="1" applyAlignment="1" pivotButton="0" quotePrefix="0" xfId="0">
      <alignment horizontal="left" vertical="center" indent="1"/>
    </xf>
    <xf numFmtId="164" fontId="0" fillId="0" borderId="1" applyAlignment="1" pivotButton="0" quotePrefix="0" xfId="0">
      <alignment horizontal="general" vertical="bottom"/>
    </xf>
    <xf numFmtId="164" fontId="18" fillId="0" borderId="1" applyAlignment="1" pivotButton="0" quotePrefix="0" xfId="0">
      <alignment horizontal="right" vertical="center" inden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30" fillId="0" borderId="0" applyAlignment="1" pivotButton="0" quotePrefix="0" xfId="0">
      <alignment horizontal="general" vertical="center" wrapText="1"/>
    </xf>
    <xf numFmtId="0" fontId="23" fillId="0" borderId="0" applyAlignment="1" pivotButton="0" quotePrefix="0" xfId="0">
      <alignment horizontal="general" vertical="bottom"/>
    </xf>
    <xf numFmtId="0" fontId="33" fillId="8" borderId="1" applyAlignment="1" pivotButton="0" quotePrefix="0" xfId="0">
      <alignment horizontal="center" vertical="center" wrapText="1"/>
    </xf>
    <xf numFmtId="0" fontId="33" fillId="2" borderId="1" applyAlignment="1" pivotButton="0" quotePrefix="0" xfId="0">
      <alignment horizontal="center" vertical="center" wrapText="1"/>
    </xf>
    <xf numFmtId="0" fontId="33" fillId="4" borderId="1" applyAlignment="1" pivotButton="0" quotePrefix="0" xfId="0">
      <alignment horizontal="center" vertical="center" wrapText="1"/>
    </xf>
    <xf numFmtId="165" fontId="13" fillId="3" borderId="1" applyAlignment="1" applyProtection="1" pivotButton="0" quotePrefix="0" xfId="0">
      <alignment horizontal="general" vertical="bottom"/>
      <protection locked="0" hidden="0"/>
    </xf>
    <xf numFmtId="0" fontId="13" fillId="3" borderId="1" applyAlignment="1" applyProtection="1" pivotButton="0" quotePrefix="0" xfId="0">
      <alignment horizontal="general" vertical="bottom"/>
      <protection locked="0" hidden="0"/>
    </xf>
    <xf numFmtId="0" fontId="13" fillId="0" borderId="1" applyAlignment="1" pivotButton="0" quotePrefix="0" xfId="0">
      <alignment horizontal="general" vertical="bottom"/>
    </xf>
    <xf numFmtId="2" fontId="13" fillId="3" borderId="1" applyAlignment="1" applyProtection="1" pivotButton="0" quotePrefix="0" xfId="0">
      <alignment horizontal="general" vertical="bottom"/>
      <protection locked="0" hidden="0"/>
    </xf>
    <xf numFmtId="2" fontId="13" fillId="0" borderId="1" applyAlignment="1" pivotButton="0" quotePrefix="0" xfId="0">
      <alignment horizontal="general" vertical="bottom"/>
    </xf>
    <xf numFmtId="164" fontId="13" fillId="0" borderId="1" applyAlignment="1" pivotButton="0" quotePrefix="0" xfId="0">
      <alignment horizontal="general" vertical="bottom"/>
    </xf>
    <xf numFmtId="0" fontId="13" fillId="0" borderId="1" applyAlignment="1" pivotButton="0" quotePrefix="0" xfId="0">
      <alignment horizontal="center" vertical="center" wrapText="1"/>
    </xf>
    <xf numFmtId="0" fontId="11" fillId="2" borderId="2" applyAlignment="1" pivotButton="0" quotePrefix="0" xfId="0">
      <alignment horizontal="center" vertical="center" wrapText="1"/>
    </xf>
    <xf numFmtId="0" fontId="34" fillId="5" borderId="2" applyAlignment="1" pivotButton="0" quotePrefix="0" xfId="0">
      <alignment horizontal="left" vertical="center" indent="1"/>
    </xf>
    <xf numFmtId="2" fontId="34" fillId="5" borderId="2" applyAlignment="1" pivotButton="0" quotePrefix="0" xfId="0">
      <alignment horizontal="center" vertical="center"/>
    </xf>
    <xf numFmtId="0" fontId="9" fillId="0" borderId="2" applyAlignment="1" pivotButton="0" quotePrefix="0" xfId="0">
      <alignment horizontal="center" vertical="center"/>
    </xf>
    <xf numFmtId="0" fontId="34" fillId="0" borderId="2" applyAlignment="1" pivotButton="0" quotePrefix="0" xfId="0">
      <alignment horizontal="left" vertical="center" indent="1"/>
    </xf>
    <xf numFmtId="2" fontId="34" fillId="0" borderId="2" applyAlignment="1" pivotButton="0" quotePrefix="0" xfId="0">
      <alignment horizontal="center" vertical="center"/>
    </xf>
    <xf numFmtId="0" fontId="25" fillId="8" borderId="0" applyAlignment="1" pivotButton="0" quotePrefix="0" xfId="0">
      <alignment horizontal="left" vertical="center" indent="1"/>
    </xf>
    <xf numFmtId="0" fontId="35" fillId="9" borderId="0" applyAlignment="1" pivotButton="0" quotePrefix="0" xfId="0">
      <alignment horizontal="left" vertical="center" wrapText="1" indent="1"/>
    </xf>
    <xf numFmtId="0" fontId="33" fillId="4"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2" applyAlignment="1" pivotButton="0" quotePrefix="0" xfId="0">
      <alignment horizontal="left" vertical="center" indent="1"/>
    </xf>
    <xf numFmtId="2" fontId="13" fillId="0" borderId="2" applyAlignment="1" pivotButton="0" quotePrefix="0" xfId="0">
      <alignment horizontal="center" vertical="center"/>
    </xf>
    <xf numFmtId="0" fontId="13" fillId="10" borderId="2" applyAlignment="1" pivotButton="0" quotePrefix="0" xfId="0">
      <alignment horizontal="center" vertical="center"/>
    </xf>
    <xf numFmtId="0" fontId="36" fillId="10" borderId="2" applyAlignment="1" pivotButton="0" quotePrefix="0" xfId="0">
      <alignment horizontal="center" vertical="center"/>
    </xf>
    <xf numFmtId="0" fontId="36" fillId="10" borderId="2" applyAlignment="1" pivotButton="0" quotePrefix="0" xfId="0">
      <alignment horizontal="left" vertical="center" indent="1"/>
    </xf>
    <xf numFmtId="2" fontId="36" fillId="10" borderId="2" applyAlignment="1" pivotButton="0" quotePrefix="0" xfId="0">
      <alignment horizontal="center" vertical="center"/>
    </xf>
    <xf numFmtId="0" fontId="20" fillId="11" borderId="0" applyAlignment="1" pivotButton="0" quotePrefix="0" xfId="0">
      <alignment horizontal="left" vertical="center" indent="1"/>
    </xf>
    <xf numFmtId="166" fontId="20" fillId="11" borderId="0" applyAlignment="1" pivotButton="0" quotePrefix="0" xfId="0">
      <alignment horizontal="center" vertical="center"/>
    </xf>
    <xf numFmtId="0" fontId="37" fillId="12" borderId="2" applyAlignment="1" applyProtection="1" pivotButton="0" quotePrefix="0" xfId="0">
      <alignment horizontal="center" vertical="center"/>
      <protection locked="0" hidden="0"/>
    </xf>
    <xf numFmtId="0" fontId="38" fillId="4" borderId="2" applyAlignment="1" pivotButton="0" quotePrefix="0" xfId="0">
      <alignment horizontal="center" vertical="center"/>
    </xf>
    <xf numFmtId="0" fontId="39" fillId="0" borderId="2" applyAlignment="1" pivotButton="0" quotePrefix="0" xfId="0">
      <alignment horizontal="left" vertical="center" indent="1"/>
    </xf>
    <xf numFmtId="1" fontId="39" fillId="0" borderId="2" applyAlignment="1" pivotButton="0" quotePrefix="0" xfId="0">
      <alignment horizontal="center" vertical="center"/>
    </xf>
    <xf numFmtId="1" fontId="40" fillId="0" borderId="2" applyAlignment="1" pivotButton="0" quotePrefix="0" xfId="0">
      <alignment horizontal="center" vertical="center"/>
    </xf>
    <xf numFmtId="0" fontId="41" fillId="0" borderId="0" applyAlignment="1" pivotButton="0" quotePrefix="0" xfId="0">
      <alignment horizontal="left" vertical="center" indent="1"/>
    </xf>
    <xf numFmtId="0" fontId="42" fillId="0" borderId="0" applyAlignment="1" pivotButton="0" quotePrefix="0" xfId="0">
      <alignment horizontal="general" vertical="bottom"/>
    </xf>
    <xf numFmtId="0" fontId="43" fillId="0" borderId="1" applyAlignment="1" pivotButton="0" quotePrefix="0" xfId="0">
      <alignment horizontal="center" vertical="center"/>
    </xf>
    <xf numFmtId="0" fontId="43" fillId="0" borderId="1" applyAlignment="1" pivotButton="0" quotePrefix="0" xfId="0">
      <alignment horizontal="left" vertical="center"/>
    </xf>
    <xf numFmtId="0" fontId="44" fillId="0" borderId="0" applyAlignment="1" pivotButton="0" quotePrefix="0" xfId="0">
      <alignment horizontal="general" vertical="bottom"/>
    </xf>
    <xf numFmtId="0" fontId="45" fillId="2" borderId="3" applyAlignment="1" pivotButton="0" quotePrefix="0" xfId="0">
      <alignment horizontal="general" vertical="center"/>
    </xf>
    <xf numFmtId="0" fontId="46" fillId="0" borderId="3" applyAlignment="1" applyProtection="1" pivotButton="0" quotePrefix="0" xfId="0">
      <alignment horizontal="left" vertical="center"/>
      <protection locked="0" hidden="0"/>
    </xf>
    <xf numFmtId="0" fontId="11" fillId="2" borderId="1" applyAlignment="1" pivotButton="0" quotePrefix="0" xfId="0">
      <alignment horizontal="center" vertical="center" wrapText="1"/>
    </xf>
    <xf numFmtId="0" fontId="47" fillId="2" borderId="1" applyAlignment="1" pivotButton="0" quotePrefix="0" xfId="0">
      <alignment horizontal="center" vertical="center" wrapText="1"/>
    </xf>
    <xf numFmtId="0" fontId="48" fillId="0" borderId="0" applyAlignment="1" pivotButton="0" quotePrefix="0" xfId="0">
      <alignment horizontal="general" vertical="bottom"/>
    </xf>
    <xf numFmtId="0" fontId="34" fillId="0" borderId="1" applyAlignment="1" pivotButton="0" quotePrefix="0" xfId="0">
      <alignment horizontal="left" vertical="center" indent="1"/>
    </xf>
    <xf numFmtId="2" fontId="34" fillId="0" borderId="1" applyAlignment="1" pivotButton="0" quotePrefix="0" xfId="0">
      <alignment horizontal="center" vertical="center" wrapText="1"/>
    </xf>
    <xf numFmtId="2" fontId="34" fillId="3" borderId="1" applyAlignment="1" applyProtection="1" pivotButton="0" quotePrefix="0" xfId="0">
      <alignment horizontal="center" vertical="center" wrapText="1"/>
      <protection locked="0" hidden="0"/>
    </xf>
    <xf numFmtId="0" fontId="34" fillId="0" borderId="1" applyAlignment="1" pivotButton="0" quotePrefix="0" xfId="0">
      <alignment horizontal="center" vertical="center" wrapText="1"/>
    </xf>
    <xf numFmtId="0" fontId="34" fillId="3" borderId="1" applyAlignment="1" applyProtection="1" pivotButton="0" quotePrefix="0" xfId="0">
      <alignment horizontal="center" vertical="center" wrapText="1"/>
      <protection locked="0" hidden="0"/>
    </xf>
    <xf numFmtId="2" fontId="18" fillId="0" borderId="1" applyAlignment="1" pivotButton="0" quotePrefix="0" xfId="0">
      <alignment horizontal="center" vertical="center" wrapText="1"/>
    </xf>
    <xf numFmtId="0" fontId="18" fillId="3" borderId="1" applyAlignment="1" applyProtection="1" pivotButton="0" quotePrefix="0" xfId="0">
      <alignment horizontal="center" vertical="center" wrapText="1"/>
      <protection locked="0" hidden="0"/>
    </xf>
    <xf numFmtId="2" fontId="20" fillId="0" borderId="1" applyAlignment="1" pivotButton="0" quotePrefix="0" xfId="0">
      <alignment horizontal="center" vertical="center" wrapText="1"/>
    </xf>
    <xf numFmtId="0" fontId="9" fillId="0" borderId="0" applyAlignment="1" pivotButton="0" quotePrefix="0" xfId="0">
      <alignment horizontal="general" vertical="bottom"/>
    </xf>
    <xf numFmtId="0" fontId="0" fillId="0" borderId="4" applyAlignment="1" pivotButton="0" quotePrefix="0" xfId="0">
      <alignment horizontal="general" vertical="bottom"/>
    </xf>
    <xf numFmtId="0" fontId="9" fillId="0" borderId="0" applyAlignment="1" pivotButton="0" quotePrefix="0" xfId="0">
      <alignment horizontal="general" vertical="bottom"/>
    </xf>
    <xf numFmtId="0" fontId="0" fillId="0" borderId="4" applyAlignment="1" pivotButton="0" quotePrefix="0" xfId="0">
      <alignment horizontal="general" vertical="bottom"/>
    </xf>
    <xf numFmtId="0" fontId="49" fillId="0" borderId="0" applyAlignment="1" pivotButton="0" quotePrefix="0" xfId="0">
      <alignment horizontal="general" vertical="bottom"/>
    </xf>
    <xf numFmtId="0" fontId="46" fillId="0" borderId="3" applyAlignment="1" pivotButton="0" quotePrefix="0" xfId="0">
      <alignment horizontal="left" vertical="center"/>
    </xf>
    <xf numFmtId="0" fontId="11" fillId="2" borderId="3" applyAlignment="1" pivotButton="0" quotePrefix="0" xfId="0">
      <alignment horizontal="center" vertical="center" wrapText="1"/>
    </xf>
    <xf numFmtId="0" fontId="11" fillId="2" borderId="3" applyAlignment="1" applyProtection="1" pivotButton="0" quotePrefix="0" xfId="0">
      <alignment horizontal="center" vertical="center" wrapText="1"/>
      <protection locked="0" hidden="0"/>
    </xf>
    <xf numFmtId="0" fontId="43" fillId="0" borderId="3" applyAlignment="1" pivotButton="0" quotePrefix="0" xfId="0">
      <alignment horizontal="general" vertical="bottom"/>
    </xf>
    <xf numFmtId="2" fontId="43" fillId="0" borderId="3" applyAlignment="1" pivotButton="0" quotePrefix="0" xfId="0">
      <alignment horizontal="center" vertical="bottom"/>
    </xf>
    <xf numFmtId="2" fontId="50" fillId="0" borderId="3" applyAlignment="1" applyProtection="1" pivotButton="0" quotePrefix="0" xfId="0">
      <alignment horizontal="center" vertical="bottom"/>
      <protection locked="0" hidden="0"/>
    </xf>
    <xf numFmtId="1" fontId="43" fillId="0" borderId="3" applyAlignment="1" applyProtection="1" pivotButton="0" quotePrefix="0" xfId="0">
      <alignment horizontal="center" vertical="bottom"/>
      <protection locked="0" hidden="0"/>
    </xf>
    <xf numFmtId="0" fontId="43" fillId="0" borderId="3" applyAlignment="1" pivotButton="0" quotePrefix="0" xfId="0">
      <alignment horizontal="center" vertical="bottom"/>
    </xf>
    <xf numFmtId="0" fontId="43" fillId="5" borderId="3" applyAlignment="1" pivotButton="0" quotePrefix="0" xfId="0">
      <alignment horizontal="general" vertical="bottom"/>
    </xf>
    <xf numFmtId="0" fontId="51" fillId="13" borderId="3" applyAlignment="1" pivotButton="0" quotePrefix="0" xfId="0">
      <alignment horizontal="general" vertical="bottom"/>
    </xf>
    <xf numFmtId="0" fontId="52" fillId="13" borderId="3" applyAlignment="1" pivotButton="0" quotePrefix="0" xfId="0">
      <alignment horizontal="right" vertical="bottom"/>
    </xf>
    <xf numFmtId="164" fontId="52" fillId="13" borderId="3" applyAlignment="1" pivotButton="0" quotePrefix="0" xfId="0">
      <alignment horizontal="general" vertical="bottom"/>
    </xf>
    <xf numFmtId="0" fontId="51" fillId="0" borderId="0" applyAlignment="1" pivotButton="0" quotePrefix="0" xfId="0">
      <alignment horizontal="general" vertical="bottom"/>
    </xf>
    <xf numFmtId="0" fontId="17" fillId="2" borderId="5" applyAlignment="1" pivotButton="0" quotePrefix="0" xfId="0">
      <alignment horizontal="center" vertical="bottom"/>
    </xf>
    <xf numFmtId="0" fontId="0" fillId="5" borderId="5" applyAlignment="1" pivotButton="0" quotePrefix="0" xfId="0">
      <alignment horizontal="general" vertical="bottom"/>
    </xf>
    <xf numFmtId="2" fontId="0" fillId="5" borderId="5" applyAlignment="1" pivotButton="0" quotePrefix="0" xfId="0">
      <alignment horizontal="center" vertical="bottom"/>
    </xf>
    <xf numFmtId="0" fontId="0" fillId="0" borderId="5" applyAlignment="1" pivotButton="0" quotePrefix="0" xfId="0">
      <alignment horizontal="general" vertical="bottom"/>
    </xf>
    <xf numFmtId="2" fontId="0" fillId="0" borderId="5" applyAlignment="1" pivotButton="0" quotePrefix="0" xfId="0">
      <alignment horizontal="center" vertical="bottom"/>
    </xf>
    <xf numFmtId="0" fontId="53" fillId="0" borderId="0" applyAlignment="1" pivotButton="0" quotePrefix="0" xfId="0">
      <alignment horizontal="general" vertical="bottom"/>
    </xf>
    <xf numFmtId="164" fontId="0" fillId="0" borderId="0" applyAlignment="1" pivotButton="0" quotePrefix="0" xfId="0">
      <alignment horizontal="general" vertical="bottom"/>
    </xf>
    <xf numFmtId="1" fontId="0" fillId="0" borderId="0" applyAlignment="1" pivotButton="0" quotePrefix="0" xfId="0">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5" fillId="0" borderId="0" applyAlignment="1" pivotButton="0" quotePrefix="0" xfId="0">
      <alignment horizontal="left" vertical="center" wrapText="1"/>
    </xf>
    <xf numFmtId="0" fontId="10" fillId="0" borderId="0" applyAlignment="1" pivotButton="0" quotePrefix="0" xfId="0">
      <alignment horizontal="general" vertical="top" wrapText="1"/>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5" fillId="0" borderId="0" applyAlignment="1" pivotButton="0" quotePrefix="0" xfId="0">
      <alignment horizontal="general" vertical="top" wrapText="1"/>
    </xf>
    <xf numFmtId="0" fontId="11" fillId="2" borderId="1" applyAlignment="1" pivotButton="0" quotePrefix="0" xfId="0">
      <alignment horizontal="center" vertical="center"/>
    </xf>
    <xf numFmtId="0" fontId="5" fillId="0" borderId="1" applyAlignment="1" pivotButton="0" quotePrefix="0" xfId="0">
      <alignment horizontal="left" vertical="center"/>
    </xf>
    <xf numFmtId="0" fontId="12" fillId="0" borderId="1" applyAlignment="1" pivotButton="0" quotePrefix="0" xfId="0">
      <alignment horizontal="center"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1" applyAlignment="1" pivotButton="0" quotePrefix="0" xfId="0">
      <alignment horizontal="left" vertical="center"/>
    </xf>
    <xf numFmtId="0" fontId="5" fillId="0" borderId="1" applyAlignment="1" pivotButton="0" quotePrefix="0" xfId="0">
      <alignment horizontal="general" vertical="bottom"/>
    </xf>
    <xf numFmtId="0" fontId="11" fillId="2" borderId="1" applyAlignment="1" pivotButton="0" quotePrefix="0" xfId="0">
      <alignment horizontal="general" vertical="bottom"/>
    </xf>
    <xf numFmtId="0" fontId="0" fillId="0" borderId="1" applyAlignment="1" pivotButton="0" quotePrefix="0" xfId="0">
      <alignment horizontal="general" vertical="bottom"/>
    </xf>
    <xf numFmtId="0" fontId="15" fillId="0" borderId="0" applyAlignment="1" pivotButton="0" quotePrefix="0" xfId="0">
      <alignment horizontal="general" vertical="bottom"/>
    </xf>
    <xf numFmtId="164" fontId="15" fillId="3" borderId="2" applyAlignment="1" applyProtection="1" pivotButton="0" quotePrefix="0" xfId="0">
      <alignment horizontal="center" vertical="center"/>
      <protection locked="0" hidden="0"/>
    </xf>
    <xf numFmtId="0" fontId="16" fillId="2" borderId="0" applyAlignment="1" pivotButton="0" quotePrefix="0" xfId="0">
      <alignment horizontal="left" vertical="center" indent="1"/>
    </xf>
    <xf numFmtId="0" fontId="17" fillId="4" borderId="2" applyAlignment="1" pivotButton="0" quotePrefix="0" xfId="0">
      <alignment horizontal="center" vertical="center"/>
    </xf>
    <xf numFmtId="0" fontId="18" fillId="0" borderId="2" applyAlignment="1" pivotButton="0" quotePrefix="0" xfId="0">
      <alignment horizontal="center" vertical="center"/>
    </xf>
    <xf numFmtId="0" fontId="19" fillId="0" borderId="2" applyAlignment="1" pivotButton="0" quotePrefix="0" xfId="0">
      <alignment horizontal="left" vertical="center"/>
    </xf>
    <xf numFmtId="2" fontId="18" fillId="0" borderId="2" applyAlignment="1" applyProtection="1" pivotButton="0" quotePrefix="0" xfId="0">
      <alignment horizontal="center" vertical="center"/>
      <protection locked="0" hidden="0"/>
    </xf>
    <xf numFmtId="0" fontId="20" fillId="5" borderId="2" applyAlignment="1" pivotButton="0" quotePrefix="0" xfId="0">
      <alignment horizontal="center" vertical="center"/>
    </xf>
    <xf numFmtId="0" fontId="20" fillId="5" borderId="2" applyAlignment="1" pivotButton="0" quotePrefix="0" xfId="0">
      <alignment horizontal="left" vertical="center"/>
    </xf>
    <xf numFmtId="2" fontId="20" fillId="5" borderId="2" applyAlignment="1" pivotButton="0" quotePrefix="0" xfId="0">
      <alignment horizontal="center" vertical="center"/>
    </xf>
    <xf numFmtId="0" fontId="0" fillId="2" borderId="0" applyAlignment="1" pivotButton="0" quotePrefix="0" xfId="0">
      <alignment horizontal="general" vertical="bottom"/>
    </xf>
    <xf numFmtId="0" fontId="18" fillId="0" borderId="2" applyAlignment="1" pivotButton="0" quotePrefix="0" xfId="0">
      <alignment horizontal="left" vertical="center"/>
    </xf>
    <xf numFmtId="2" fontId="18" fillId="0" borderId="2" applyAlignment="1" pivotButton="0" quotePrefix="0" xfId="0">
      <alignment horizontal="center" vertical="center"/>
    </xf>
    <xf numFmtId="2" fontId="20" fillId="0" borderId="2" applyAlignment="1" pivotButton="0" quotePrefix="0" xfId="0">
      <alignment horizontal="center" vertical="center"/>
    </xf>
    <xf numFmtId="0" fontId="16" fillId="2" borderId="2" applyAlignment="1" pivotButton="0" quotePrefix="0" xfId="0">
      <alignment horizontal="left" vertical="center" indent="1"/>
    </xf>
    <xf numFmtId="0" fontId="0" fillId="0" borderId="8" pivotButton="0" quotePrefix="0" xfId="0"/>
    <xf numFmtId="2" fontId="20" fillId="2" borderId="2" applyAlignment="1" pivotButton="0" quotePrefix="0" xfId="0">
      <alignment horizontal="center" vertical="center"/>
    </xf>
    <xf numFmtId="2" fontId="17" fillId="4" borderId="2" applyAlignment="1" pivotButton="0" quotePrefix="0" xfId="0">
      <alignment horizontal="center" vertical="center"/>
    </xf>
    <xf numFmtId="0" fontId="21" fillId="0" borderId="2" applyAlignment="1" pivotButton="0" quotePrefix="0" xfId="0">
      <alignment horizontal="center" vertical="center"/>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24" fillId="2" borderId="0" applyAlignment="1" pivotButton="0" quotePrefix="0" xfId="0">
      <alignment horizontal="left" vertical="center" indent="1"/>
    </xf>
    <xf numFmtId="2" fontId="18" fillId="0" borderId="2" applyAlignment="1" pivotButton="0" quotePrefix="0" xfId="0">
      <alignment horizontal="right" vertical="center"/>
    </xf>
    <xf numFmtId="164" fontId="18" fillId="0" borderId="2" applyAlignment="1" pivotButton="0" quotePrefix="0" xfId="0">
      <alignment horizontal="right" vertical="center"/>
    </xf>
    <xf numFmtId="2" fontId="20" fillId="5" borderId="2" applyAlignment="1" pivotButton="0" quotePrefix="0" xfId="0">
      <alignment horizontal="right" vertical="center"/>
    </xf>
    <xf numFmtId="0" fontId="20" fillId="5" borderId="2" applyAlignment="1" pivotButton="0" quotePrefix="0" xfId="0">
      <alignment horizontal="right" vertical="center"/>
    </xf>
    <xf numFmtId="164" fontId="20" fillId="5" borderId="2" applyAlignment="1" pivotButton="0" quotePrefix="0" xfId="0">
      <alignment horizontal="right" vertical="center"/>
    </xf>
    <xf numFmtId="1" fontId="18" fillId="0" borderId="2" applyAlignment="1" pivotButton="0" quotePrefix="0" xfId="0">
      <alignment horizontal="right" vertical="center"/>
    </xf>
    <xf numFmtId="0" fontId="16" fillId="6" borderId="0" applyAlignment="1" pivotButton="0" quotePrefix="0" xfId="0">
      <alignment horizontal="left" vertical="center" indent="1"/>
    </xf>
    <xf numFmtId="164" fontId="25" fillId="6" borderId="0" applyAlignment="1" pivotButton="0" quotePrefix="0" xfId="0">
      <alignment horizontal="right" vertical="center" indent="1"/>
    </xf>
    <xf numFmtId="0" fontId="16" fillId="7" borderId="0" applyAlignment="1" pivotButton="0" quotePrefix="0" xfId="0">
      <alignment horizontal="left" vertical="center" indent="1"/>
    </xf>
    <xf numFmtId="164" fontId="26" fillId="7" borderId="0" applyAlignment="1" pivotButton="0" quotePrefix="0" xfId="0">
      <alignment horizontal="right" vertical="center" indent="1"/>
    </xf>
    <xf numFmtId="0" fontId="27" fillId="0" borderId="0" applyAlignment="1" pivotButton="0" quotePrefix="0" xfId="0">
      <alignment horizontal="general" vertical="bottom"/>
    </xf>
    <xf numFmtId="0" fontId="20" fillId="0" borderId="0" applyAlignment="1" pivotButton="0" quotePrefix="0" xfId="0">
      <alignment horizontal="center" vertical="bottom"/>
    </xf>
    <xf numFmtId="0" fontId="9" fillId="0" borderId="0" applyAlignment="1" pivotButton="0" quotePrefix="0" xfId="0">
      <alignment horizontal="general" vertical="bottom"/>
    </xf>
    <xf numFmtId="0" fontId="20" fillId="0" borderId="0" applyAlignment="1" pivotButton="0" quotePrefix="0" xfId="0">
      <alignment horizontal="general" vertical="bottom"/>
    </xf>
    <xf numFmtId="164" fontId="20" fillId="0" borderId="0" applyAlignment="1" pivotButton="0" quotePrefix="0" xfId="0">
      <alignment horizontal="general" vertical="bottom"/>
    </xf>
    <xf numFmtId="0" fontId="28" fillId="5" borderId="0" applyAlignment="1" pivotButton="0" quotePrefix="0" xfId="0">
      <alignment horizontal="general" vertical="bottom"/>
    </xf>
    <xf numFmtId="164" fontId="29" fillId="5" borderId="0" applyAlignment="1" pivotButton="0" quotePrefix="0" xfId="0">
      <alignment horizontal="general" vertical="bottom"/>
    </xf>
    <xf numFmtId="0" fontId="30" fillId="0" borderId="0" applyAlignment="1" pivotButton="0" quotePrefix="0" xfId="0">
      <alignment horizontal="general" vertical="bottom"/>
    </xf>
    <xf numFmtId="164" fontId="25" fillId="7" borderId="0" applyAlignment="1" pivotButton="0" quotePrefix="0" xfId="0">
      <alignment horizontal="right" vertical="center" indent="1"/>
    </xf>
    <xf numFmtId="0" fontId="18" fillId="0" borderId="2" applyAlignment="1" pivotButton="0" quotePrefix="0" xfId="0">
      <alignment horizontal="left" vertical="center" indent="1"/>
    </xf>
    <xf numFmtId="0" fontId="0" fillId="0" borderId="9" pivotButton="0" quotePrefix="0" xfId="0"/>
    <xf numFmtId="164" fontId="18" fillId="3" borderId="2" applyAlignment="1" pivotButton="0" quotePrefix="0" xfId="0">
      <alignment horizontal="right" vertical="center" indent="1"/>
    </xf>
    <xf numFmtId="0" fontId="20" fillId="5" borderId="2" applyAlignment="1" pivotButton="0" quotePrefix="0" xfId="0">
      <alignment horizontal="left" vertical="center" indent="1"/>
    </xf>
    <xf numFmtId="164" fontId="20" fillId="5" borderId="2" applyAlignment="1" pivotButton="0" quotePrefix="0" xfId="0">
      <alignment horizontal="right" vertical="center" indent="1"/>
    </xf>
    <xf numFmtId="0" fontId="31" fillId="6" borderId="0" applyAlignment="1" pivotButton="0" quotePrefix="0" xfId="0">
      <alignment horizontal="left" vertical="center" indent="1"/>
    </xf>
    <xf numFmtId="164" fontId="32" fillId="6" borderId="0" applyAlignment="1" pivotButton="0" quotePrefix="0" xfId="0">
      <alignment horizontal="right" vertical="center" indent="1"/>
    </xf>
    <xf numFmtId="0" fontId="20" fillId="4" borderId="1" applyAlignment="1" pivotButton="0" quotePrefix="0" xfId="0">
      <alignment horizontal="left" vertical="center" indent="1"/>
    </xf>
    <xf numFmtId="0" fontId="20" fillId="0" borderId="1" applyAlignment="1" pivotButton="0" quotePrefix="0" xfId="0">
      <alignment horizontal="general" vertical="bottom"/>
    </xf>
    <xf numFmtId="0" fontId="20" fillId="4" borderId="1" applyAlignment="1" pivotButton="0" quotePrefix="0" xfId="0">
      <alignment horizontal="center" vertical="center"/>
    </xf>
    <xf numFmtId="0" fontId="18" fillId="0" borderId="1" applyAlignment="1" pivotButton="0" quotePrefix="0" xfId="0">
      <alignment horizontal="left" vertical="center" indent="1"/>
    </xf>
    <xf numFmtId="164" fontId="0" fillId="0" borderId="1" applyAlignment="1" pivotButton="0" quotePrefix="0" xfId="0">
      <alignment horizontal="general" vertical="bottom"/>
    </xf>
    <xf numFmtId="164" fontId="18" fillId="0" borderId="1" applyAlignment="1" pivotButton="0" quotePrefix="0" xfId="0">
      <alignment horizontal="right" vertical="center" indent="1"/>
    </xf>
    <xf numFmtId="0" fontId="30" fillId="0" borderId="0" applyAlignment="1" pivotButton="0" quotePrefix="0" xfId="0">
      <alignment horizontal="general" vertical="center" wrapText="1"/>
    </xf>
    <xf numFmtId="0" fontId="33" fillId="8" borderId="1" applyAlignment="1" pivotButton="0" quotePrefix="0" xfId="0">
      <alignment horizontal="center" vertical="center" wrapText="1"/>
    </xf>
    <xf numFmtId="0" fontId="33" fillId="2" borderId="1" applyAlignment="1" pivotButton="0" quotePrefix="0" xfId="0">
      <alignment horizontal="center" vertical="center" wrapText="1"/>
    </xf>
    <xf numFmtId="0" fontId="33" fillId="4" borderId="1" applyAlignment="1" pivotButton="0" quotePrefix="0" xfId="0">
      <alignment horizontal="center" vertical="center" wrapText="1"/>
    </xf>
    <xf numFmtId="165" fontId="13" fillId="3" borderId="1" applyAlignment="1" applyProtection="1" pivotButton="0" quotePrefix="0" xfId="0">
      <alignment horizontal="general" vertical="bottom"/>
      <protection locked="0" hidden="0"/>
    </xf>
    <xf numFmtId="0" fontId="13" fillId="3" borderId="1" applyAlignment="1" applyProtection="1" pivotButton="0" quotePrefix="0" xfId="0">
      <alignment horizontal="general" vertical="bottom"/>
      <protection locked="0" hidden="0"/>
    </xf>
    <xf numFmtId="0" fontId="13" fillId="0" borderId="1" applyAlignment="1" pivotButton="0" quotePrefix="0" xfId="0">
      <alignment horizontal="general" vertical="bottom"/>
    </xf>
    <xf numFmtId="2" fontId="13" fillId="3" borderId="1" applyAlignment="1" applyProtection="1" pivotButton="0" quotePrefix="0" xfId="0">
      <alignment horizontal="general" vertical="bottom"/>
      <protection locked="0" hidden="0"/>
    </xf>
    <xf numFmtId="2" fontId="13" fillId="0" borderId="1" applyAlignment="1" pivotButton="0" quotePrefix="0" xfId="0">
      <alignment horizontal="general" vertical="bottom"/>
    </xf>
    <xf numFmtId="164" fontId="13" fillId="0" borderId="1" applyAlignment="1" pivotButton="0" quotePrefix="0" xfId="0">
      <alignment horizontal="general" vertical="bottom"/>
    </xf>
    <xf numFmtId="0" fontId="13" fillId="0" borderId="1" applyAlignment="1" pivotButton="0" quotePrefix="0" xfId="0">
      <alignment horizontal="center" vertical="center" wrapText="1"/>
    </xf>
    <xf numFmtId="0" fontId="11" fillId="2" borderId="2" applyAlignment="1" pivotButton="0" quotePrefix="0" xfId="0">
      <alignment horizontal="center" vertical="center" wrapText="1"/>
    </xf>
    <xf numFmtId="0" fontId="34" fillId="5" borderId="2" applyAlignment="1" pivotButton="0" quotePrefix="0" xfId="0">
      <alignment horizontal="left" vertical="center" indent="1"/>
    </xf>
    <xf numFmtId="2" fontId="34" fillId="5" borderId="2" applyAlignment="1" pivotButton="0" quotePrefix="0" xfId="0">
      <alignment horizontal="center" vertical="center"/>
    </xf>
    <xf numFmtId="0" fontId="9" fillId="0" borderId="2" applyAlignment="1" pivotButton="0" quotePrefix="0" xfId="0">
      <alignment horizontal="center" vertical="center"/>
    </xf>
    <xf numFmtId="0" fontId="34" fillId="0" borderId="2" applyAlignment="1" pivotButton="0" quotePrefix="0" xfId="0">
      <alignment horizontal="left" vertical="center" indent="1"/>
    </xf>
    <xf numFmtId="2" fontId="34" fillId="0" borderId="2" applyAlignment="1" pivotButton="0" quotePrefix="0" xfId="0">
      <alignment horizontal="center" vertical="center"/>
    </xf>
    <xf numFmtId="0" fontId="25" fillId="8" borderId="0" applyAlignment="1" pivotButton="0" quotePrefix="0" xfId="0">
      <alignment horizontal="left" vertical="center" indent="1"/>
    </xf>
    <xf numFmtId="0" fontId="35" fillId="9" borderId="0" applyAlignment="1" pivotButton="0" quotePrefix="0" xfId="0">
      <alignment horizontal="left" vertical="center" wrapText="1" indent="1"/>
    </xf>
    <xf numFmtId="0" fontId="33" fillId="4"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2" applyAlignment="1" pivotButton="0" quotePrefix="0" xfId="0">
      <alignment horizontal="left" vertical="center" indent="1"/>
    </xf>
    <xf numFmtId="2" fontId="13" fillId="0" borderId="2" applyAlignment="1" pivotButton="0" quotePrefix="0" xfId="0">
      <alignment horizontal="center" vertical="center"/>
    </xf>
    <xf numFmtId="0" fontId="13" fillId="10" borderId="2" applyAlignment="1" pivotButton="0" quotePrefix="0" xfId="0">
      <alignment horizontal="center" vertical="center"/>
    </xf>
    <xf numFmtId="0" fontId="36" fillId="10" borderId="2" applyAlignment="1" pivotButton="0" quotePrefix="0" xfId="0">
      <alignment horizontal="center" vertical="center"/>
    </xf>
    <xf numFmtId="0" fontId="36" fillId="10" borderId="2" applyAlignment="1" pivotButton="0" quotePrefix="0" xfId="0">
      <alignment horizontal="left" vertical="center" indent="1"/>
    </xf>
    <xf numFmtId="2" fontId="36" fillId="10" borderId="2" applyAlignment="1" pivotButton="0" quotePrefix="0" xfId="0">
      <alignment horizontal="center" vertical="center"/>
    </xf>
    <xf numFmtId="0" fontId="20" fillId="11" borderId="0" applyAlignment="1" pivotButton="0" quotePrefix="0" xfId="0">
      <alignment horizontal="left" vertical="center" indent="1"/>
    </xf>
    <xf numFmtId="166" fontId="20" fillId="11" borderId="0" applyAlignment="1" pivotButton="0" quotePrefix="0" xfId="0">
      <alignment horizontal="center" vertical="center"/>
    </xf>
    <xf numFmtId="0" fontId="37" fillId="12" borderId="2"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38" fillId="4" borderId="2" applyAlignment="1" pivotButton="0" quotePrefix="0" xfId="0">
      <alignment horizontal="center" vertical="center"/>
    </xf>
    <xf numFmtId="0" fontId="39" fillId="0" borderId="2" applyAlignment="1" pivotButton="0" quotePrefix="0" xfId="0">
      <alignment horizontal="left" vertical="center" indent="1"/>
    </xf>
    <xf numFmtId="1" fontId="39" fillId="0" borderId="2" applyAlignment="1" pivotButton="0" quotePrefix="0" xfId="0">
      <alignment horizontal="center" vertical="center"/>
    </xf>
    <xf numFmtId="1" fontId="40" fillId="0" borderId="2" applyAlignment="1" pivotButton="0" quotePrefix="0" xfId="0">
      <alignment horizontal="center" vertical="center"/>
    </xf>
    <xf numFmtId="0" fontId="41" fillId="0" borderId="0" applyAlignment="1" pivotButton="0" quotePrefix="0" xfId="0">
      <alignment horizontal="left" vertical="center" indent="1"/>
    </xf>
    <xf numFmtId="0" fontId="42" fillId="0" borderId="0" applyAlignment="1" pivotButton="0" quotePrefix="0" xfId="0">
      <alignment horizontal="general" vertical="bottom"/>
    </xf>
    <xf numFmtId="0" fontId="43" fillId="0" borderId="1" applyAlignment="1" pivotButton="0" quotePrefix="0" xfId="0">
      <alignment horizontal="center" vertical="center"/>
    </xf>
    <xf numFmtId="0" fontId="43" fillId="0" borderId="1" applyAlignment="1" pivotButton="0" quotePrefix="0" xfId="0">
      <alignment horizontal="left" vertical="center"/>
    </xf>
    <xf numFmtId="0" fontId="44" fillId="0" borderId="0" applyAlignment="1" pivotButton="0" quotePrefix="0" xfId="0">
      <alignment horizontal="general" vertical="bottom"/>
    </xf>
    <xf numFmtId="0" fontId="45" fillId="2" borderId="3" applyAlignment="1" pivotButton="0" quotePrefix="0" xfId="0">
      <alignment horizontal="general" vertical="center"/>
    </xf>
    <xf numFmtId="0" fontId="46" fillId="0" borderId="3" applyAlignment="1" applyProtection="1" pivotButton="0" quotePrefix="0" xfId="0">
      <alignment horizontal="left" vertical="center"/>
      <protection locked="0" hidden="0"/>
    </xf>
    <xf numFmtId="0" fontId="0" fillId="0" borderId="12" applyProtection="1" pivotButton="0" quotePrefix="0" xfId="0">
      <protection locked="0" hidden="0"/>
    </xf>
    <xf numFmtId="0" fontId="11" fillId="2" borderId="1" applyAlignment="1" pivotButton="0" quotePrefix="0" xfId="0">
      <alignment horizontal="center" vertical="center" wrapText="1"/>
    </xf>
    <xf numFmtId="0" fontId="47" fillId="2" borderId="1" applyAlignment="1" pivotButton="0" quotePrefix="0" xfId="0">
      <alignment horizontal="center" vertical="center" wrapText="1"/>
    </xf>
    <xf numFmtId="0" fontId="48" fillId="0" borderId="0" applyAlignment="1" pivotButton="0" quotePrefix="0" xfId="0">
      <alignment horizontal="general" vertical="bottom"/>
    </xf>
    <xf numFmtId="0" fontId="34" fillId="0" borderId="1" applyAlignment="1" pivotButton="0" quotePrefix="0" xfId="0">
      <alignment horizontal="left" vertical="center" indent="1"/>
    </xf>
    <xf numFmtId="2" fontId="34" fillId="0" borderId="1" applyAlignment="1" pivotButton="0" quotePrefix="0" xfId="0">
      <alignment horizontal="center" vertical="center" wrapText="1"/>
    </xf>
    <xf numFmtId="2" fontId="34" fillId="3" borderId="1" applyAlignment="1" applyProtection="1" pivotButton="0" quotePrefix="0" xfId="0">
      <alignment horizontal="center" vertical="center" wrapText="1"/>
      <protection locked="0" hidden="0"/>
    </xf>
    <xf numFmtId="0" fontId="34" fillId="0" borderId="1" applyAlignment="1" pivotButton="0" quotePrefix="0" xfId="0">
      <alignment horizontal="center" vertical="center" wrapText="1"/>
    </xf>
    <xf numFmtId="0" fontId="34" fillId="3" borderId="1" applyAlignment="1" applyProtection="1" pivotButton="0" quotePrefix="0" xfId="0">
      <alignment horizontal="center" vertical="center" wrapText="1"/>
      <protection locked="0" hidden="0"/>
    </xf>
    <xf numFmtId="2" fontId="18" fillId="0" borderId="1" applyAlignment="1" pivotButton="0" quotePrefix="0" xfId="0">
      <alignment horizontal="center" vertical="center" wrapText="1"/>
    </xf>
    <xf numFmtId="0" fontId="18" fillId="3" borderId="1" applyAlignment="1" applyProtection="1" pivotButton="0" quotePrefix="0" xfId="0">
      <alignment horizontal="center" vertical="center" wrapText="1"/>
      <protection locked="0" hidden="0"/>
    </xf>
    <xf numFmtId="2" fontId="20" fillId="0" borderId="1" applyAlignment="1" pivotButton="0" quotePrefix="0" xfId="0">
      <alignment horizontal="center" vertical="center" wrapText="1"/>
    </xf>
    <xf numFmtId="0" fontId="0" fillId="0" borderId="4" applyAlignment="1" pivotButton="0" quotePrefix="0" xfId="0">
      <alignment horizontal="general" vertical="bottom"/>
    </xf>
    <xf numFmtId="0" fontId="0" fillId="0" borderId="4" pivotButton="0" quotePrefix="0" xfId="0"/>
    <xf numFmtId="0" fontId="49" fillId="0" borderId="0" applyAlignment="1" pivotButton="0" quotePrefix="0" xfId="0">
      <alignment horizontal="general" vertical="bottom"/>
    </xf>
    <xf numFmtId="0" fontId="46" fillId="0" borderId="3" applyAlignment="1" pivotButton="0" quotePrefix="0" xfId="0">
      <alignment horizontal="left" vertical="center"/>
    </xf>
    <xf numFmtId="0" fontId="0" fillId="0" borderId="13" pivotButton="0" quotePrefix="0" xfId="0"/>
    <xf numFmtId="0" fontId="0" fillId="0" borderId="12" pivotButton="0" quotePrefix="0" xfId="0"/>
    <xf numFmtId="0" fontId="0" fillId="0" borderId="13" applyProtection="1" pivotButton="0" quotePrefix="0" xfId="0">
      <protection locked="0" hidden="0"/>
    </xf>
    <xf numFmtId="0" fontId="11" fillId="2" borderId="3" applyAlignment="1" pivotButton="0" quotePrefix="0" xfId="0">
      <alignment horizontal="center" vertical="center" wrapText="1"/>
    </xf>
    <xf numFmtId="0" fontId="11" fillId="2" borderId="3" applyAlignment="1" applyProtection="1" pivotButton="0" quotePrefix="0" xfId="0">
      <alignment horizontal="center" vertical="center" wrapText="1"/>
      <protection locked="0" hidden="0"/>
    </xf>
    <xf numFmtId="0" fontId="43" fillId="0" borderId="3" applyAlignment="1" pivotButton="0" quotePrefix="0" xfId="0">
      <alignment horizontal="general" vertical="bottom"/>
    </xf>
    <xf numFmtId="2" fontId="43" fillId="0" borderId="3" applyAlignment="1" pivotButton="0" quotePrefix="0" xfId="0">
      <alignment horizontal="center" vertical="bottom"/>
    </xf>
    <xf numFmtId="2" fontId="50" fillId="0" borderId="3" applyAlignment="1" applyProtection="1" pivotButton="0" quotePrefix="0" xfId="0">
      <alignment horizontal="center" vertical="bottom"/>
      <protection locked="0" hidden="0"/>
    </xf>
    <xf numFmtId="1" fontId="43" fillId="0" borderId="3" applyAlignment="1" applyProtection="1" pivotButton="0" quotePrefix="0" xfId="0">
      <alignment horizontal="center" vertical="bottom"/>
      <protection locked="0" hidden="0"/>
    </xf>
    <xf numFmtId="0" fontId="43" fillId="0" borderId="3" applyAlignment="1" pivotButton="0" quotePrefix="0" xfId="0">
      <alignment horizontal="center" vertical="bottom"/>
    </xf>
    <xf numFmtId="0" fontId="43" fillId="5" borderId="3" applyAlignment="1" pivotButton="0" quotePrefix="0" xfId="0">
      <alignment horizontal="general" vertical="bottom"/>
    </xf>
    <xf numFmtId="0" fontId="51" fillId="13" borderId="3" applyAlignment="1" pivotButton="0" quotePrefix="0" xfId="0">
      <alignment horizontal="general" vertical="bottom"/>
    </xf>
    <xf numFmtId="0" fontId="52" fillId="13" borderId="3" applyAlignment="1" pivotButton="0" quotePrefix="0" xfId="0">
      <alignment horizontal="right" vertical="bottom"/>
    </xf>
    <xf numFmtId="164" fontId="52" fillId="13" borderId="3" applyAlignment="1" pivotButton="0" quotePrefix="0" xfId="0">
      <alignment horizontal="general" vertical="bottom"/>
    </xf>
    <xf numFmtId="0" fontId="51" fillId="0" borderId="0" applyAlignment="1" pivotButton="0" quotePrefix="0" xfId="0">
      <alignment horizontal="general" vertical="bottom"/>
    </xf>
    <xf numFmtId="0" fontId="17" fillId="2" borderId="5" applyAlignment="1" pivotButton="0" quotePrefix="0" xfId="0">
      <alignment horizontal="center" vertical="bottom"/>
    </xf>
    <xf numFmtId="0" fontId="0" fillId="5" borderId="5" applyAlignment="1" pivotButton="0" quotePrefix="0" xfId="0">
      <alignment horizontal="general" vertical="bottom"/>
    </xf>
    <xf numFmtId="2" fontId="0" fillId="5" borderId="5" applyAlignment="1" pivotButton="0" quotePrefix="0" xfId="0">
      <alignment horizontal="center" vertical="bottom"/>
    </xf>
    <xf numFmtId="0" fontId="0" fillId="0" borderId="5" applyAlignment="1" pivotButton="0" quotePrefix="0" xfId="0">
      <alignment horizontal="general" vertical="bottom"/>
    </xf>
    <xf numFmtId="2" fontId="0" fillId="0" borderId="5" applyAlignment="1" pivotButton="0" quotePrefix="0" xfId="0">
      <alignment horizontal="center" vertical="bottom"/>
    </xf>
    <xf numFmtId="0" fontId="53" fillId="0" borderId="0" applyAlignment="1" pivotButton="0" quotePrefix="0" xfId="0">
      <alignment horizontal="general" vertical="bottom"/>
    </xf>
    <xf numFmtId="164" fontId="0" fillId="0" borderId="0" applyAlignment="1" pivotButton="0" quotePrefix="0" xfId="0">
      <alignment horizontal="general" vertical="bottom"/>
    </xf>
    <xf numFmtId="1" fontId="0" fillId="0" borderId="0" applyAlignment="1" pivotButton="0" quotePrefix="0" xfId="0">
      <alignment horizontal="general" vertical="bottom"/>
    </xf>
    <xf numFmtId="2" fontId="0" fillId="0" borderId="0" applyAlignment="1" pivotButton="0" quotePrefix="0" xfId="0">
      <alignment horizontal="general" vertical="bottom"/>
    </xf>
    <xf numFmtId="0" fontId="54" fillId="0" borderId="0" pivotButton="0" quotePrefix="0" xfId="0"/>
    <xf numFmtId="0" fontId="55" fillId="0" borderId="0" pivotButton="0" quotePrefix="0" xfId="0"/>
    <xf numFmtId="2" fontId="18" fillId="14" borderId="2" applyAlignment="1" pivotButton="0" quotePrefix="0" xfId="0">
      <alignment horizontal="center" vertical="center"/>
    </xf>
    <xf numFmtId="2" fontId="34" fillId="3" borderId="1" applyAlignment="1" pivotButton="0" quotePrefix="0" xfId="0">
      <alignment horizontal="center" vertical="center" wrapText="1"/>
    </xf>
    <xf numFmtId="0" fontId="34" fillId="3" borderId="1" applyAlignment="1" pivotButton="0" quotePrefix="0" xfId="0">
      <alignment horizontal="center" vertical="center" wrapText="1"/>
    </xf>
    <xf numFmtId="2" fontId="50" fillId="0" borderId="3" applyAlignment="1" pivotButton="0" quotePrefix="0" xfId="0">
      <alignment horizontal="center" vertical="bottom"/>
    </xf>
    <xf numFmtId="0" fontId="57" fillId="0" borderId="0" pivotButton="0" quotePrefix="0" xfId="0"/>
    <xf numFmtId="0" fontId="58" fillId="0" borderId="0" pivotButton="0" quotePrefix="0" xfId="0"/>
    <xf numFmtId="0" fontId="56" fillId="0" borderId="0" pivotButton="0" quotePrefix="0" xfId="0"/>
    <xf numFmtId="0" fontId="59" fillId="0" borderId="1" applyAlignment="1" pivotButton="0" quotePrefix="0" xfId="0">
      <alignment horizontal="center" vertical="center"/>
    </xf>
    <xf numFmtId="0" fontId="59" fillId="0" borderId="1" applyAlignment="1" pivotButton="0" quotePrefix="0" xfId="0">
      <alignment horizontal="left" vertical="center"/>
    </xf>
    <xf numFmtId="0" fontId="60" fillId="0" borderId="1" applyAlignment="1" pivotButton="0" quotePrefix="0" xfId="0">
      <alignment horizontal="left" vertical="center"/>
    </xf>
    <xf numFmtId="0" fontId="61" fillId="0" borderId="1" applyAlignment="1" pivotButton="0" quotePrefix="0" xfId="0">
      <alignment horizontal="left" vertical="center"/>
    </xf>
    <xf numFmtId="0" fontId="62" fillId="0" borderId="1" applyAlignment="1" pivotButton="0" quotePrefix="0" xfId="0">
      <alignment horizontal="general" vertical="bottom"/>
    </xf>
    <xf numFmtId="0" fontId="62" fillId="0" borderId="1" applyAlignment="1" pivotButton="0" quotePrefix="0" xfId="0">
      <alignment horizontal="left" vertical="center"/>
    </xf>
    <xf numFmtId="0" fontId="61" fillId="0" borderId="1" applyAlignment="1" pivotButton="0" quotePrefix="0" xfId="0">
      <alignment horizontal="general" vertical="bottom"/>
    </xf>
    <xf numFmtId="0" fontId="61" fillId="0" borderId="0" pivotButton="0" quotePrefix="0" xfId="0"/>
    <xf numFmtId="0" fontId="5" fillId="0" borderId="14" applyAlignment="1" pivotButton="0" quotePrefix="0" xfId="0">
      <alignment horizontal="left" vertical="center"/>
    </xf>
    <xf numFmtId="0" fontId="60" fillId="0" borderId="15" applyAlignment="1" pivotButton="0" quotePrefix="0" xfId="0">
      <alignment horizontal="general" vertical="bottom"/>
    </xf>
    <xf numFmtId="0" fontId="60" fillId="0" borderId="15" applyAlignment="1" pivotButton="0" quotePrefix="0" xfId="0">
      <alignment horizontal="left" vertical="center"/>
    </xf>
    <xf numFmtId="0" fontId="62" fillId="0" borderId="14" applyAlignment="1" pivotButton="0" quotePrefix="0" xfId="0">
      <alignment horizontal="left" vertical="center"/>
    </xf>
    <xf numFmtId="0" fontId="61" fillId="0" borderId="15" applyAlignment="1" pivotButton="0" quotePrefix="0" xfId="0">
      <alignment horizontal="general" vertical="bottom"/>
    </xf>
    <xf numFmtId="0" fontId="61" fillId="0" borderId="15" applyAlignment="1" pivotButton="0" quotePrefix="0" xfId="0">
      <alignment horizontal="left" vertical="center"/>
    </xf>
    <xf numFmtId="0" fontId="61" fillId="0" borderId="14" applyAlignment="1" pivotButton="0" quotePrefix="0" xfId="0">
      <alignment horizontal="left" vertical="center"/>
    </xf>
    <xf numFmtId="0" fontId="61" fillId="0" borderId="15" pivotButton="0" quotePrefix="0" xfId="0"/>
    <xf numFmtId="0" fontId="0" fillId="0" borderId="14" pivotButton="0" quotePrefix="0" xfId="0"/>
    <xf numFmtId="0" fontId="63" fillId="0" borderId="0" pivotButton="0" quotePrefix="0" xfId="0"/>
    <xf numFmtId="0" fontId="64" fillId="15" borderId="15" applyAlignment="1" pivotButton="0" quotePrefix="0" xfId="0">
      <alignment horizontal="center" vertical="center" wrapText="1"/>
    </xf>
    <xf numFmtId="2" fontId="65" fillId="0" borderId="15" applyAlignment="1" pivotButton="0" quotePrefix="0" xfId="0">
      <alignment horizontal="center" vertical="center" wrapText="1"/>
    </xf>
    <xf numFmtId="0" fontId="65" fillId="0" borderId="15" applyAlignment="1" pivotButton="0" quotePrefix="0" xfId="0">
      <alignment horizontal="center" vertical="center" wrapText="1"/>
    </xf>
    <xf numFmtId="0" fontId="67" fillId="16" borderId="0" pivotButton="0" quotePrefix="0" xfId="0"/>
    <xf numFmtId="0" fontId="0" fillId="0" borderId="16" pivotButton="0" quotePrefix="0" xfId="0"/>
    <xf numFmtId="0" fontId="65" fillId="0" borderId="15" applyAlignment="1" pivotButton="0" quotePrefix="0" xfId="0">
      <alignment horizontal="left" vertical="center" indent="1"/>
    </xf>
    <xf numFmtId="0" fontId="67" fillId="13" borderId="14" applyAlignment="1" pivotButton="0" quotePrefix="0" xfId="0">
      <alignment horizontal="general" vertical="bottom"/>
    </xf>
    <xf numFmtId="0" fontId="66" fillId="13" borderId="14" applyAlignment="1" pivotButton="0" quotePrefix="0" xfId="0">
      <alignment horizontal="general" vertical="bottom"/>
    </xf>
    <xf numFmtId="0" fontId="66" fillId="13" borderId="14" applyAlignment="1" pivotButton="0" quotePrefix="0" xfId="0">
      <alignment horizontal="right" vertical="bottom"/>
    </xf>
    <xf numFmtId="164" fontId="66" fillId="13" borderId="14" applyAlignment="1" pivotButton="0" quotePrefix="0" xfId="0">
      <alignment horizontal="general" vertical="bottom"/>
    </xf>
    <xf numFmtId="164" fontId="62" fillId="13" borderId="14" applyAlignment="1" pivotButton="0" quotePrefix="0" xfId="0">
      <alignment horizontal="general" vertical="bottom"/>
    </xf>
    <xf numFmtId="0" fontId="66" fillId="0" borderId="14" applyAlignment="1" pivotButton="0" quotePrefix="0" xfId="0">
      <alignment horizontal="general" vertical="bottom"/>
    </xf>
    <xf numFmtId="0" fontId="66" fillId="0" borderId="14" pivotButton="0" quotePrefix="0" xfId="0"/>
    <xf numFmtId="0" fontId="67" fillId="0" borderId="14" applyAlignment="1" pivotButton="0" quotePrefix="0" xfId="0">
      <alignment horizontal="general" vertical="bottom"/>
    </xf>
    <xf numFmtId="0" fontId="66" fillId="0" borderId="16" pivotButton="0" quotePrefix="0" xfId="0"/>
    <xf numFmtId="0" fontId="67" fillId="0" borderId="14" pivotButton="0" quotePrefix="0" xfId="0"/>
    <xf numFmtId="0" fontId="68" fillId="0" borderId="14" pivotButton="0" quotePrefix="0" xfId="0"/>
    <xf numFmtId="0" fontId="66" fillId="0" borderId="17" pivotButton="0" quotePrefix="0" xfId="0"/>
    <xf numFmtId="0" fontId="69" fillId="17" borderId="15" applyAlignment="1" pivotButton="0" quotePrefix="0" xfId="0">
      <alignment horizontal="center" vertical="center" wrapText="1"/>
    </xf>
    <xf numFmtId="0" fontId="70" fillId="18" borderId="15" applyAlignment="1" applyProtection="1" pivotButton="0" quotePrefix="0" xfId="0">
      <alignment horizontal="center" vertical="center"/>
      <protection locked="0" hidden="0"/>
    </xf>
    <xf numFmtId="0" fontId="71" fillId="0" borderId="0" pivotButton="0" quotePrefix="0" xfId="0"/>
    <xf numFmtId="0" fontId="72" fillId="0" borderId="0" applyAlignment="1" pivotButton="0" quotePrefix="0" xfId="0">
      <alignment vertical="center" wrapText="1"/>
    </xf>
    <xf numFmtId="0" fontId="73" fillId="0" borderId="0" pivotButton="0" quotePrefix="0" xfId="0"/>
    <xf numFmtId="0" fontId="74" fillId="0" borderId="0" pivotButton="0" quotePrefix="0" xfId="0"/>
    <xf numFmtId="0" fontId="70" fillId="0" borderId="15" applyAlignment="1" pivotButton="0" quotePrefix="0" xfId="0">
      <alignment horizontal="center" vertical="center" wrapText="1"/>
    </xf>
    <xf numFmtId="167" fontId="70" fillId="18" borderId="15" applyAlignment="1" applyProtection="1" pivotButton="0" quotePrefix="0" xfId="0">
      <alignment horizontal="center" vertical="center" wrapText="1"/>
      <protection locked="0" hidden="0"/>
    </xf>
    <xf numFmtId="0" fontId="70" fillId="18" borderId="15" applyProtection="1" pivotButton="0" quotePrefix="0" xfId="0">
      <protection locked="0" hidden="0"/>
    </xf>
    <xf numFmtId="2" fontId="70" fillId="18" borderId="15" applyAlignment="1" applyProtection="1" pivotButton="0" quotePrefix="0" xfId="0">
      <alignment horizontal="center" vertical="center" wrapText="1"/>
      <protection locked="0" hidden="0"/>
    </xf>
    <xf numFmtId="2" fontId="70" fillId="0" borderId="15" applyAlignment="1" pivotButton="0" quotePrefix="0" xfId="0">
      <alignment horizontal="center" vertical="center" wrapText="1"/>
    </xf>
    <xf numFmtId="164" fontId="70" fillId="0" borderId="15" applyAlignment="1" pivotButton="0" quotePrefix="0" xfId="0">
      <alignment horizontal="center" vertical="center" wrapText="1"/>
    </xf>
    <xf numFmtId="0" fontId="75" fillId="0" borderId="0" pivotButton="0" quotePrefix="0" xfId="0"/>
    <xf numFmtId="0" fontId="69" fillId="15" borderId="15" applyAlignment="1" pivotButton="0" quotePrefix="0" xfId="0">
      <alignment horizontal="center" vertical="center" wrapText="1"/>
    </xf>
    <xf numFmtId="0" fontId="70" fillId="18" borderId="15" applyAlignment="1" applyProtection="1" pivotButton="0" quotePrefix="0" xfId="0">
      <alignment horizontal="center" vertical="center" wrapText="1"/>
      <protection locked="0" hidden="0"/>
    </xf>
    <xf numFmtId="0" fontId="70" fillId="0" borderId="15" pivotButton="0" quotePrefix="0" xfId="0"/>
    <xf numFmtId="0" fontId="76" fillId="0" borderId="14" applyAlignment="1" pivotButton="0" quotePrefix="0" xfId="0">
      <alignment horizontal="general" vertical="bottom"/>
    </xf>
    <xf numFmtId="0" fontId="76" fillId="0" borderId="14" pivotButton="0" quotePrefix="0" xfId="0"/>
    <xf numFmtId="0" fontId="66" fillId="0" borderId="16" applyAlignment="1" pivotButton="0" quotePrefix="0" xfId="0">
      <alignment horizontal="general" vertical="bottom"/>
    </xf>
    <xf numFmtId="0" fontId="77" fillId="13" borderId="14" applyAlignment="1" pivotButton="0" quotePrefix="0" xfId="0">
      <alignment horizontal="general" vertical="bottom"/>
    </xf>
    <xf numFmtId="0" fontId="75" fillId="0" borderId="0" applyAlignment="1" pivotButton="0" quotePrefix="0" xfId="0">
      <alignment horizontal="general" vertical="top" wrapText="1"/>
    </xf>
    <xf numFmtId="0" fontId="78" fillId="0" borderId="0" applyAlignment="1" pivotButton="0" quotePrefix="0" xfId="0">
      <alignment vertical="top" wrapText="1"/>
    </xf>
    <xf numFmtId="0" fontId="66" fillId="0" borderId="17" applyAlignment="1" pivotButton="0" quotePrefix="0" xfId="0">
      <alignment horizontal="general" vertical="bottom"/>
    </xf>
    <xf numFmtId="0" fontId="65" fillId="0" borderId="15" applyAlignment="1" pivotButton="0" quotePrefix="0" xfId="0">
      <alignment horizontal="center" vertical="center"/>
    </xf>
    <xf numFmtId="0" fontId="79" fillId="0" borderId="0" pivotButton="0" quotePrefix="0" xfId="0"/>
    <xf numFmtId="0" fontId="67" fillId="0" borderId="0" pivotButton="0" quotePrefix="0" xfId="0"/>
    <xf numFmtId="0" fontId="0" fillId="18" borderId="15" applyProtection="1" pivotButton="0" quotePrefix="0" xfId="0">
      <protection locked="0" hidden="0"/>
    </xf>
    <xf numFmtId="0" fontId="80" fillId="0" borderId="0" pivotButton="0" quotePrefix="0" xfId="0"/>
    <xf numFmtId="0" fontId="81" fillId="0" borderId="0" pivotButton="0" quotePrefix="0" xfId="0"/>
    <xf numFmtId="0" fontId="82" fillId="15" borderId="15" applyAlignment="1" pivotButton="0" quotePrefix="0" xfId="0">
      <alignment horizontal="left" vertical="center" wrapText="1" indent="1"/>
    </xf>
    <xf numFmtId="0" fontId="0" fillId="0" borderId="20" pivotButton="0" quotePrefix="0" xfId="0"/>
    <xf numFmtId="0" fontId="0" fillId="0" borderId="21" pivotButton="0" quotePrefix="0" xfId="0"/>
    <xf numFmtId="0" fontId="83" fillId="0" borderId="15" applyAlignment="1" pivotButton="0" quotePrefix="0" xfId="0">
      <alignment horizontal="left" vertical="center" indent="1"/>
    </xf>
    <xf numFmtId="0" fontId="68" fillId="0" borderId="0" pivotButton="0" quotePrefix="0" xfId="0"/>
    <xf numFmtId="0" fontId="0" fillId="0" borderId="17" pivotButton="0" quotePrefix="0" xfId="0"/>
    <xf numFmtId="0" fontId="84" fillId="17" borderId="0" applyAlignment="1" pivotButton="0" quotePrefix="0" xfId="0">
      <alignment horizontal="left" vertical="center" indent="1"/>
    </xf>
    <xf numFmtId="0" fontId="85" fillId="0" borderId="0" pivotButton="0" quotePrefix="0" xfId="0"/>
    <xf numFmtId="0" fontId="0" fillId="18" borderId="15" pivotButton="0" quotePrefix="0" xfId="0"/>
    <xf numFmtId="0" fontId="76" fillId="0" borderId="0" pivotButton="0" quotePrefix="0" xfId="0"/>
    <xf numFmtId="0" fontId="86" fillId="0" borderId="0" pivotButton="0" quotePrefix="0" xfId="0"/>
    <xf numFmtId="0" fontId="87" fillId="0" borderId="14" pivotButton="0" quotePrefix="0" xfId="0"/>
    <xf numFmtId="0" fontId="88" fillId="0" borderId="14" pivotButton="0" quotePrefix="0" xfId="0"/>
    <xf numFmtId="0" fontId="87" fillId="0" borderId="22" pivotButton="0" quotePrefix="0" xfId="0"/>
    <xf numFmtId="0" fontId="75" fillId="0" borderId="0" applyAlignment="1" pivotButton="0" quotePrefix="0" xfId="0">
      <alignment horizontal="center" vertical="center"/>
    </xf>
    <xf numFmtId="0" fontId="88" fillId="0" borderId="0" pivotButton="0" quotePrefix="0" xfId="0"/>
    <xf numFmtId="0" fontId="89" fillId="15" borderId="0" pivotButton="0" quotePrefix="0" xfId="0"/>
    <xf numFmtId="0" fontId="86" fillId="0" borderId="0" applyAlignment="1" pivotButton="0" quotePrefix="0" xfId="0">
      <alignment horizontal="center" vertical="center"/>
    </xf>
    <xf numFmtId="0" fontId="82" fillId="17" borderId="0" applyAlignment="1" pivotButton="0" quotePrefix="0" xfId="0">
      <alignment horizontal="left" vertical="center" indent="1"/>
    </xf>
    <xf numFmtId="0" fontId="90" fillId="0" borderId="0" pivotButton="0" quotePrefix="0" xfId="0"/>
    <xf numFmtId="2" fontId="43" fillId="0" borderId="3" pivotButton="0" quotePrefix="0" xfId="0"/>
    <xf numFmtId="0" fontId="75" fillId="0"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ont>
        <b val="1"/>
        <color rgb="FF9C6500"/>
      </font>
      <fill>
        <patternFill>
          <bgColor rgb="FFFFEB9C"/>
        </patternFill>
      </fill>
    </dxf>
    <dxf>
      <font>
        <b val="1"/>
        <color rgb="FF9C0006"/>
      </font>
      <fill>
        <patternFill>
          <bgColor rgb="FFFFC7CE"/>
        </patternFill>
      </fill>
    </dxf>
    <dxf>
      <font>
        <b val="1"/>
        <color rgb="FF9C0006"/>
        <sz val="10"/>
      </font>
      <fill>
        <patternFill>
          <bgColor rgb="FFF4CCCC"/>
        </patternFill>
      </fill>
    </dxf>
    <dxf>
      <font>
        <b val="1"/>
        <color rgb="FFFFFFFF"/>
        <sz val="20"/>
      </font>
      <fill>
        <patternFill>
          <bgColor rgb="FFB00020"/>
        </patternFill>
      </fill>
    </dxf>
    <dxf>
      <fill>
        <patternFill>
          <bgColor rgb="FFB00020"/>
        </patternFill>
      </fill>
    </dxf>
    <dxf>
      <font>
        <b val="1"/>
        <color rgb="FF9C0006"/>
      </font>
      <fill>
        <patternFill>
          <bgColor rgb="FFF4CCCC"/>
        </patternFill>
      </fill>
    </dxf>
    <dxf>
      <font>
        <b val="1"/>
        <color rgb="FF274E13"/>
      </font>
      <fill>
        <patternFill>
          <bgColor rgb="FFE2F0D9"/>
        </patternFill>
      </fill>
    </dxf>
    <dxf>
      <font>
        <b val="1"/>
        <color rgb="FF9C0006"/>
      </font>
      <fill>
        <patternFill>
          <bgColor rgb="FFF4CCCC"/>
        </patternFill>
      </fill>
    </dxf>
    <dxf>
      <font>
        <b val="1"/>
        <color rgb="FF7F6000"/>
      </font>
      <fill>
        <patternFill>
          <bgColor rgb="FFFFF2CC"/>
        </patternFill>
      </fill>
    </dxf>
    <dxf>
      <font>
        <b val="1"/>
        <color rgb="FF274E13"/>
      </font>
      <fill>
        <patternFill>
          <bgColor rgb="FFE2F0D9"/>
        </patternFill>
      </fill>
    </dxf>
    <dxf>
      <fill>
        <patternFill patternType="solid">
          <fgColor rgb="FF2E7D32"/>
          <bgColor rgb="FF000000"/>
        </patternFill>
      </fill>
    </dxf>
    <dxf>
      <fill>
        <patternFill patternType="solid">
          <bgColor rgb="FF000000"/>
        </patternFill>
      </fill>
    </dxf>
    <dxf>
      <fill>
        <patternFill patternType="solid">
          <fgColor rgb="FFFFFFFF"/>
          <bgColor rgb="FF000000"/>
        </patternFill>
      </fill>
    </dxf>
    <dxf>
      <font>
        <b val="1"/>
        <color rgb="FF7F6000"/>
        <sz val="10"/>
      </font>
      <fill>
        <patternFill>
          <bgColor rgb="FFFFF2CC"/>
        </patternFill>
      </fill>
    </dxf>
    <dxf>
      <font>
        <b val="1"/>
        <color rgb="FF274E13"/>
        <sz val="10"/>
      </font>
      <fill>
        <patternFill>
          <bgColor rgb="FFE2F0D9"/>
        </patternFill>
      </fill>
    </dxf>
    <dxf>
      <font>
        <b val="1"/>
        <i val="1"/>
        <color rgb="FF666666"/>
        <sz val="10"/>
      </font>
      <fill>
        <patternFill>
          <bgColor rgb="FFEDEDED"/>
        </patternFill>
      </fill>
    </dxf>
  </dxfs>
  <colors>
    <indexedColors>
      <rgbColor rgb="FF000000"/>
      <rgbColor rgb="FFFFFFFF"/>
      <rgbColor rgb="FFCC0000"/>
      <rgbColor rgb="FF00FF00"/>
      <rgbColor rgb="FF0000FF"/>
      <rgbColor rgb="FFF3E7BE"/>
      <rgbColor rgb="FFFF00FF"/>
      <rgbColor rgb="FF00FFFF"/>
      <rgbColor rgb="FF9C0006"/>
      <rgbColor rgb="FF2E7D32"/>
      <rgbColor rgb="FF000080"/>
      <rgbColor rgb="FF7F6000"/>
      <rgbColor rgb="FF800080"/>
      <rgbColor rgb="FF2E5E38"/>
      <rgbColor rgb="FFBBBBBB"/>
      <rgbColor rgb="FF888888"/>
      <rgbColor rgb="FF9999FF"/>
      <rgbColor rgb="FF9C6500"/>
      <rgbColor rgb="FFFFF3CD"/>
      <rgbColor rgb="FFE8F5E9"/>
      <rgbColor rgb="FF660066"/>
      <rgbColor rgb="FFFF8080"/>
      <rgbColor rgb="FF1155CC"/>
      <rgbColor rgb="FFD0D0D0"/>
      <rgbColor rgb="FF000080"/>
      <rgbColor rgb="FFFF00FF"/>
      <rgbColor rgb="FFFFF2CC"/>
      <rgbColor rgb="FF00FFFF"/>
      <rgbColor rgb="FF800080"/>
      <rgbColor rgb="FFB00020"/>
      <rgbColor rgb="FF1B5E20"/>
      <rgbColor rgb="FF0000FF"/>
      <rgbColor rgb="FF00CCFF"/>
      <rgbColor rgb="FFDCE6F5"/>
      <rgbColor rgb="FFE2F0D9"/>
      <rgbColor rgb="FFFFEB9C"/>
      <rgbColor rgb="FFC8E6C9"/>
      <rgbColor rgb="FFFFC7CE"/>
      <rgbColor rgb="FFEDEDED"/>
      <rgbColor rgb="FFF4CCCC"/>
      <rgbColor rgb="FF3366FF"/>
      <rgbColor rgb="FF33CCCC"/>
      <rgbColor rgb="FF99CC00"/>
      <rgbColor rgb="FFEFEFE0"/>
      <rgbColor rgb="FFB8860B"/>
      <rgbColor rgb="FFFF6600"/>
      <rgbColor rgb="FF666666"/>
      <rgbColor rgb="FFB0B0B0"/>
      <rgbColor rgb="FF1B4F72"/>
      <rgbColor rgb="FF4C8C4A"/>
      <rgbColor rgb="FF1B4A22"/>
      <rgbColor rgb="FF274E13"/>
      <rgbColor rgb="FF8B3A2E"/>
      <rgbColor rgb="FF993366"/>
      <rgbColor rgb="FF555555"/>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styles" Target="styles.xml" Id="rId226"/><Relationship Type="http://schemas.openxmlformats.org/officeDocument/2006/relationships/theme" Target="theme/theme1.xml" Id="rId22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K26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62" min="1" max="1"/>
    <col width="45" customWidth="1" style="162" min="2" max="2"/>
    <col width="30" customWidth="1" style="162" min="3" max="3"/>
    <col width="28" customWidth="1" style="162" min="4" max="4"/>
  </cols>
  <sheetData>
    <row r="1" ht="19.5" customHeight="1" s="163">
      <c r="A1" s="164" t="inlineStr">
        <is>
          <t>ÍNDICE — CLIQUE NO NOME PARA ABRIR A ABA   [MODELO EM BRANCO — pronto para uma semana nova]</t>
        </is>
      </c>
      <c r="B1" s="165" t="n"/>
      <c r="C1" s="165" t="n"/>
    </row>
    <row r="2" ht="15" customHeight="1" s="163">
      <c r="A2" s="165" t="n"/>
      <c r="B2" s="165" t="n"/>
      <c r="C2" s="165" t="n"/>
    </row>
    <row r="3" ht="15" customHeight="1" s="163">
      <c r="A3" s="166" t="inlineStr">
        <is>
          <t>ABAS DE TRABALHO</t>
        </is>
      </c>
      <c r="B3" s="165" t="n"/>
      <c r="C3" s="165" t="n"/>
    </row>
    <row r="4" ht="15" customHeight="1" s="163">
      <c r="A4" s="167">
        <f>HYPERLINK("#'Entrada de Dados'!A1","Entrada de Dados")</f>
        <v/>
      </c>
      <c r="B4" s="168" t="inlineStr">
        <is>
          <t>onde você digita pedido e entrega</t>
        </is>
      </c>
      <c r="C4" s="165" t="n"/>
    </row>
    <row r="5" ht="15" customHeight="1" s="163">
      <c r="A5" s="167">
        <f>HYPERLINK("#'RESUMO'!A1","RESUMO")</f>
        <v/>
      </c>
      <c r="B5" s="168" t="inlineStr">
        <is>
          <t>o resultado final, calculado sozinho</t>
        </is>
      </c>
      <c r="C5" s="165" t="n"/>
    </row>
    <row r="6" ht="15" customHeight="1" s="163">
      <c r="A6" s="167">
        <f>HYPERLINK("#'BALANÇO FINANCEIRO'!A1","BALANÇO FINANCEIRO")</f>
        <v/>
      </c>
      <c r="B6" s="168" t="inlineStr">
        <is>
          <t>custos reais da semana e saldo (positivo ou negativo)</t>
        </is>
      </c>
      <c r="C6" s="165" t="n"/>
    </row>
    <row r="7" ht="15" customHeight="1" s="163">
      <c r="A7" s="167">
        <f>HYPERLINK("#'DIFERENÇA'!A1","DIFERENÇA")</f>
        <v/>
      </c>
      <c r="B7" s="168" t="inlineStr">
        <is>
          <t>quanto faltou entregar, produto por produto</t>
        </is>
      </c>
      <c r="C7" s="165" t="n"/>
    </row>
    <row r="8" ht="15" customHeight="1" s="163">
      <c r="A8" s="167">
        <f>HYPERLINK("#'MAPA DE MONTAGEM'!A1","MAPA DE MONTAGEM")</f>
        <v/>
      </c>
      <c r="B8" s="168" t="inlineStr">
        <is>
          <t>separação da carga por rota — segunda e terça</t>
        </is>
      </c>
      <c r="C8" s="165" t="n"/>
    </row>
    <row r="9" ht="15" customHeight="1" s="163">
      <c r="A9" s="167">
        <f>HYPERLINK("#'MAPA DE PRODUÇÃO'!A1","MAPA DE PRODUÇÃO")</f>
        <v/>
      </c>
      <c r="B9" s="168" t="inlineStr">
        <is>
          <t>quem planta o quê, por mês</t>
        </is>
      </c>
      <c r="C9" s="165" t="n"/>
    </row>
    <row r="10" ht="25.5" customHeight="1" s="163">
      <c r="A10" s="167">
        <f>HYPERLINK("#'MOTIVO'!A1","MOTIVO")</f>
        <v/>
      </c>
      <c r="B10" s="168" t="inlineStr">
        <is>
          <t>lista de motivos de devolução</t>
        </is>
      </c>
      <c r="C10" s="165" t="n"/>
    </row>
    <row r="11" ht="25.5" customHeight="1" s="163">
      <c r="A11" s="165" t="n"/>
      <c r="B11" s="165" t="n"/>
      <c r="C11" s="165" t="n"/>
    </row>
    <row r="12" ht="27.75" customHeight="1" s="163">
      <c r="A12" s="166" t="inlineStr">
        <is>
          <t>COMO USAR — PASSO A PASSO DA SEMANA</t>
        </is>
      </c>
      <c r="B12" s="165" t="n"/>
      <c r="C12" s="165" t="n"/>
      <c r="D12" s="165" t="n"/>
      <c r="E12" s="165" t="n"/>
      <c r="F12" s="165" t="n"/>
      <c r="G12" s="165" t="n"/>
      <c r="H12" s="165" t="n"/>
      <c r="I12" s="165" t="n"/>
      <c r="J12" s="165" t="n"/>
      <c r="K12" s="165" t="n"/>
    </row>
    <row r="13" ht="27.75" customHeight="1" s="163">
      <c r="A13" s="169" t="inlineStr">
        <is>
          <t>1. Pedido da prefeitura chega</t>
        </is>
      </c>
      <c r="B13" s="170" t="n"/>
      <c r="C13" s="165" t="n"/>
      <c r="D13" s="165" t="n"/>
      <c r="E13" s="165" t="n"/>
      <c r="F13" s="165" t="n"/>
      <c r="G13" s="165" t="n"/>
      <c r="H13" s="165" t="n"/>
      <c r="I13" s="165" t="n"/>
      <c r="J13" s="165" t="n"/>
      <c r="K13" s="165" t="n"/>
    </row>
    <row r="14" ht="25.5" customHeight="1" s="163">
      <c r="A14" s="171" t="inlineStr">
        <is>
          <t>Aba "Entrada de Dados", bloco de cima (ESCOLAS): digite a quantidade de cada produto, na linha da escola e coluna do produto.</t>
        </is>
      </c>
      <c r="G14" s="165" t="n"/>
      <c r="H14" s="165" t="n"/>
      <c r="I14" s="165" t="n"/>
      <c r="J14" s="165" t="n"/>
      <c r="K14" s="165" t="n"/>
    </row>
    <row r="15" ht="27.75" customHeight="1" s="163">
      <c r="A15" s="169" t="inlineStr">
        <is>
          <t>2. Divisão entre produtores + pedido a eles</t>
        </is>
      </c>
      <c r="B15" s="170" t="n"/>
      <c r="C15" s="165" t="n"/>
      <c r="D15" s="165" t="n"/>
      <c r="E15" s="165" t="n"/>
      <c r="F15" s="165" t="n"/>
      <c r="G15" s="165" t="n"/>
      <c r="H15" s="165" t="n"/>
      <c r="I15" s="165" t="n"/>
      <c r="J15" s="165" t="n"/>
      <c r="K15" s="165" t="n"/>
    </row>
    <row r="16" ht="25.5" customHeight="1" s="163">
      <c r="A16" s="171" t="inlineStr">
        <is>
          <t>Decisão da cooperativa (fora da planilha). Depois, aba "Entrada de Dados", bloco do meio (PEDIDO PRODUTORES): digite quanto foi pedido a cada produtor. A partir daqui, a ficha de cada produtor (clique no nome) já mostra o Pedido e a Entrega (vêm sozinhos da Entrada de Dados) — dá pra imprimir e entregar antes da entrega chegar, como referência de quanto ele deve trazer. É a mesma ficha que depois vira o romaneio: quando ele chegar, digite a quantidade em ENTREGA PRODUTORES (passo 3 abaixo) e, se o galpão rejeitar algo, a Devolução direto na ficha do produtor — sem criar outro documento.</t>
        </is>
      </c>
      <c r="G16" s="165" t="n"/>
      <c r="H16" s="165" t="n"/>
      <c r="I16" s="165" t="n"/>
      <c r="J16" s="165" t="n"/>
      <c r="K16" s="165" t="n"/>
    </row>
    <row r="17" ht="27.75" customHeight="1" s="163">
      <c r="A17" s="169" t="inlineStr">
        <is>
          <t>3. Recebimento e rejeição no galpão</t>
        </is>
      </c>
      <c r="B17" s="165" t="n"/>
      <c r="C17" s="165" t="n"/>
      <c r="D17" s="165" t="n"/>
      <c r="E17" s="165" t="n"/>
      <c r="F17" s="165" t="n"/>
      <c r="G17" s="165" t="n"/>
      <c r="H17" s="165" t="n"/>
      <c r="I17" s="165" t="n"/>
      <c r="J17" s="165" t="n"/>
      <c r="K17" s="165" t="n"/>
    </row>
    <row r="18" ht="25.5" customHeight="1" s="163">
      <c r="A18" s="171" t="inlineStr">
        <is>
          <t>Aba "Entrada de Dados", bloco de baixo (ENTREGA PRODUTORES): digite quanto cada produtor trouxe. Depois abra a ficha do produtor (clique no nome) e digite a Devolução, se o galpão rejeitar algo.</t>
        </is>
      </c>
      <c r="G18" s="165" t="n"/>
      <c r="H18" s="165" t="n"/>
      <c r="I18" s="165" t="n"/>
      <c r="J18" s="165" t="n"/>
      <c r="K18" s="165" t="n"/>
    </row>
    <row r="19" ht="27.75" customHeight="1" s="163">
      <c r="A19" s="169" t="n"/>
      <c r="B19" s="170" t="n"/>
      <c r="C19" s="165" t="n"/>
      <c r="D19" s="165" t="n"/>
      <c r="E19" s="165" t="n"/>
      <c r="F19" s="165" t="n"/>
      <c r="G19" s="165" t="n"/>
      <c r="H19" s="165" t="n"/>
      <c r="I19" s="165" t="n"/>
      <c r="J19" s="165" t="n"/>
      <c r="K19" s="165" t="n"/>
    </row>
    <row r="20" ht="42" customHeight="1" s="163">
      <c r="A20" s="171" t="inlineStr">
        <is>
          <t>4. Complemento, se faltar produto — aba "COMPLEMENTOS": bloco B (Recebimento no galpão) uma linha por entrega, gera o pagamento. Bloco C (Entrega às escolas): escolha o Nº do recebimento, produtor/produto vêm sozinhos. Só 15 linhas aparecem por bloco — clique no "+" à esquerda da grade pra abrir mais. Pra imprimir um comprovante de complemento, use o seletor no topo da própria aba (Tipo + Nº) — o documento muda sozinho, sem mexer nos dados.</t>
        </is>
      </c>
      <c r="G20" s="165" t="n"/>
      <c r="H20" s="165" t="n"/>
      <c r="I20" s="165" t="n"/>
      <c r="J20" s="165" t="n"/>
      <c r="K20" s="165" t="n"/>
    </row>
    <row r="21" ht="27.75" customHeight="1" s="163">
      <c r="A21" s="169" t="inlineStr">
        <is>
          <t>5. Montagem e carregamento</t>
        </is>
      </c>
      <c r="B21" s="170" t="n"/>
      <c r="C21" s="165" t="n"/>
      <c r="D21" s="165" t="n"/>
      <c r="E21" s="165" t="n"/>
      <c r="F21" s="165" t="n"/>
      <c r="G21" s="165" t="n"/>
      <c r="H21" s="165" t="n"/>
      <c r="I21" s="165" t="n"/>
      <c r="J21" s="165" t="n"/>
      <c r="K21" s="165" t="n"/>
    </row>
    <row r="22" ht="25.5" customHeight="1" s="163">
      <c r="A22" s="171" t="inlineStr">
        <is>
          <t>Aba "MAPA DE MONTAGEM": as quantidades de cada rota aparecem sozinhas. Preencha só Peso Embarcado, Veículo e Motorista no rodapé de cada rota, na hora de carregar. Imprima a rota pra levar no caminhão.</t>
        </is>
      </c>
      <c r="G22" s="165" t="n"/>
      <c r="H22" s="165" t="n"/>
      <c r="I22" s="165" t="n"/>
      <c r="J22" s="165" t="n"/>
      <c r="K22" s="165" t="n"/>
    </row>
    <row r="23" ht="27.75" customHeight="1" s="163">
      <c r="A23" s="169" t="inlineStr">
        <is>
          <t>6. Entrega e assinatura na escola</t>
        </is>
      </c>
      <c r="B23" s="165" t="n"/>
      <c r="C23" s="165" t="n"/>
      <c r="D23" s="165" t="n"/>
      <c r="E23" s="165" t="n"/>
      <c r="F23" s="165" t="n"/>
      <c r="G23" s="165" t="n"/>
      <c r="H23" s="165" t="n"/>
      <c r="I23" s="165" t="n"/>
      <c r="J23" s="165" t="n"/>
      <c r="K23" s="165" t="n"/>
    </row>
    <row r="24" ht="25.5" customHeight="1" s="163">
      <c r="A24" s="171" t="inlineStr">
        <is>
          <t>Imprima a ficha da escola em 4 cópias antes de sair — é o romaneio. A merendeira/diretora confere, anota o que recebeu de próprio punho no papel, e assina.</t>
        </is>
      </c>
      <c r="G24" s="165" t="n"/>
      <c r="H24" s="165" t="n"/>
      <c r="I24" s="165" t="n"/>
      <c r="J24" s="165" t="n"/>
      <c r="K24" s="165" t="n"/>
    </row>
    <row r="25" ht="15" customHeight="1" s="163">
      <c r="A25" s="169" t="inlineStr">
        <is>
          <t>7. Lançar o resultado do romaneio que voltou</t>
        </is>
      </c>
      <c r="B25" s="172" t="n"/>
      <c r="C25" s="172" t="n"/>
      <c r="D25" s="165" t="n"/>
      <c r="E25" s="165" t="n"/>
      <c r="F25" s="165" t="n"/>
      <c r="G25" s="165" t="n"/>
      <c r="H25" s="165" t="n"/>
      <c r="I25" s="165" t="n"/>
      <c r="J25" s="165" t="n"/>
      <c r="K25" s="165" t="n"/>
    </row>
    <row r="26" ht="25.5" customHeight="1" s="163">
      <c r="A26" s="171" t="inlineStr">
        <is>
          <t>Com o papel assinado em mãos, abra a ficha da escola e digite: Recebido Bruto, Rejeitado na Escola, Cód. Motivo, Data, Horário Real, Nome de quem recebeu. Aceito, Falta e Status calculam sozinhos.</t>
        </is>
      </c>
      <c r="G26" s="165" t="n"/>
      <c r="H26" s="165" t="n"/>
      <c r="I26" s="165" t="n"/>
      <c r="J26" s="165" t="n"/>
      <c r="K26" s="165" t="n"/>
    </row>
    <row r="27" ht="15" customHeight="1" s="163">
      <c r="A27" s="169" t="inlineStr">
        <is>
          <t>8. Conferir faltas, valores e custos</t>
        </is>
      </c>
      <c r="B27" s="172" t="n"/>
      <c r="C27" s="172" t="n"/>
      <c r="D27" s="165" t="n"/>
      <c r="E27" s="165" t="n"/>
      <c r="F27" s="165" t="n"/>
      <c r="G27" s="165" t="n"/>
      <c r="H27" s="165" t="n"/>
      <c r="I27" s="165" t="n"/>
      <c r="J27" s="165" t="n"/>
      <c r="K27" s="165" t="n"/>
    </row>
    <row r="28" ht="25.5" customHeight="1" s="163">
      <c r="A28" s="171" t="inlineStr">
        <is>
          <t>Aba "RESUMO": veja se algum aviso aparece antes de considerar os valores finais. Aba "DIFERENÇA": diferença do galpão. Aba "BALANÇO FINANCEIRO": digite os custos reais da semana.</t>
        </is>
      </c>
      <c r="G28" s="165" t="n"/>
      <c r="H28" s="165" t="n"/>
      <c r="I28" s="165" t="n"/>
      <c r="J28" s="165" t="n"/>
      <c r="K28" s="165" t="n"/>
    </row>
    <row r="29" ht="27.75" customHeight="1" s="163">
      <c r="A29" s="169" t="inlineStr">
        <is>
          <t>9. Guardar a semana</t>
        </is>
      </c>
      <c r="B29" s="165" t="n"/>
      <c r="C29" s="165" t="n"/>
      <c r="D29" s="165" t="n"/>
      <c r="E29" s="165" t="n"/>
      <c r="F29" s="165" t="n"/>
      <c r="G29" s="165" t="n"/>
      <c r="H29" s="165" t="n"/>
      <c r="I29" s="165" t="n"/>
      <c r="J29" s="165" t="n"/>
      <c r="K29" s="165" t="n"/>
    </row>
    <row r="30" ht="25.5" customHeight="1" s="163">
      <c r="A30" s="171" t="inlineStr">
        <is>
          <t>Não existe fechamento nem backup automático. Arquivo &gt; Salvar Como, com a data (ex: controle_2026-10-15.xlsx). Guarde também os PDFs dos romaneios e do Mapa de Montagem. Comece a próxima semana a partir do MODELO em branco.</t>
        </is>
      </c>
      <c r="G30" s="165" t="n"/>
      <c r="H30" s="165" t="n"/>
      <c r="I30" s="165" t="n"/>
      <c r="J30" s="165" t="n"/>
      <c r="K30" s="165" t="n"/>
    </row>
    <row r="31" ht="28" customHeight="1" s="163">
      <c r="A31" s="412" t="inlineStr">
        <is>
          <t>IMPRIMIR ENTRADA DE DADOS: abra a aba, Ctrl+P, escolha "Páginas: 13" — sai o bloco de Pedido e Entrega dos Produtores numa folha só, pronto pra anotar o que cada produtor trouxe.</t>
        </is>
      </c>
      <c r="G31" s="165" t="n"/>
      <c r="H31" s="165" t="n"/>
      <c r="I31" s="165" t="n"/>
      <c r="J31" s="165" t="n"/>
      <c r="K31" s="165" t="n"/>
    </row>
    <row r="32" ht="27.75" customHeight="1" s="163">
      <c r="A32" s="386" t="inlineStr">
        <is>
          <t>ONDE REGISTRAR CADA REJEIÇÃO</t>
        </is>
      </c>
      <c r="B32" s="165" t="n"/>
      <c r="C32" s="165" t="n"/>
      <c r="D32" s="165" t="n"/>
      <c r="E32" s="165" t="n"/>
      <c r="F32" s="165" t="n"/>
      <c r="G32" s="165" t="n"/>
      <c r="H32" s="165" t="n"/>
      <c r="I32" s="165" t="n"/>
      <c r="J32" s="165" t="n"/>
      <c r="K32" s="165" t="n"/>
    </row>
    <row r="33" ht="44" customHeight="1" s="163">
      <c r="A33" s="387" t="inlineStr">
        <is>
          <t>Rejeição da entrega ORIGINAL no galpão → ficha do PRODUTOR (coluna Devolução). Rejeição da entrega ORIGINAL na escola → ficha da ESCOLA (coluna Rejeitado na Escola). Rejeição de uma entrega COMPLEMENTAR (galpão ou escola) → aba COMPLEMENTOS, na seção correspondente. Cada rejeição se registra uma única vez, no lugar certo — os totais são somados sozinhos, sem precisar repetir em outro lugar.</t>
        </is>
      </c>
      <c r="G33" s="165" t="n"/>
      <c r="H33" s="165" t="n"/>
      <c r="I33" s="165" t="n"/>
      <c r="J33" s="165" t="n"/>
      <c r="K33" s="165" t="n"/>
    </row>
    <row r="34" ht="15" customHeight="1" s="163">
      <c r="A34" s="416" t="inlineStr">
        <is>
          <t>COMPLEMENTO: PRIMEIRA CARGA OU OUTRA VIAGEM</t>
        </is>
      </c>
      <c r="B34" s="172" t="n"/>
      <c r="C34" s="172" t="n"/>
      <c r="D34" s="165" t="n"/>
      <c r="E34" s="165" t="n"/>
      <c r="F34" s="165" t="n"/>
      <c r="G34" s="165" t="n"/>
      <c r="H34" s="165" t="n"/>
      <c r="I34" s="165" t="n"/>
      <c r="J34" s="165" t="n"/>
      <c r="K34" s="165" t="n"/>
    </row>
    <row r="35" ht="70" customHeight="1" s="163">
      <c r="A35" s="387" t="inlineStr">
        <is>
          <t>Se o complemento chegar a tempo de entrar na PRIMEIRA carga (mesma visita): registre o TOTAL recebido diretamente na ficha da ESCOLA (ex.: 170kg do produtor original + 30kg do complementar = digite 200kg em "Recebido Bruto"). Em Complementos, preencha só o bloco B (Recebimento no Galpão), pra pagar o segundo produtor — NÃO preencha o bloco C (Entrega às Escolas) pra esse complemento, ou a cobrança duplica (230kg em vez de 200kg). Se chegar em OUTRA viagem depois, aí sim preencha os dois blocos normalmente, com comprovante próprio dessa entrega (Passo 3), sem misturar com o romaneio já assinado da primeira visita. Se não conseguir completar, a falta permanece registrada; marque "Encerrada sem atendimento" na ficha da escola para fechar a semana sem transferir a falta pra próxima.</t>
        </is>
      </c>
      <c r="G35" s="165" t="n"/>
      <c r="H35" s="165" t="n"/>
      <c r="I35" s="165" t="n"/>
      <c r="J35" s="165" t="n"/>
      <c r="K35" s="165" t="n"/>
    </row>
    <row r="36" hidden="1" ht="15" customHeight="1" s="163">
      <c r="A36" s="173" t="n"/>
      <c r="B36" s="172" t="n"/>
      <c r="C36" s="172" t="n"/>
      <c r="D36" s="165" t="n"/>
      <c r="E36" s="165" t="n"/>
      <c r="F36" s="165" t="n"/>
      <c r="G36" s="165" t="n"/>
      <c r="H36" s="165" t="n"/>
      <c r="I36" s="165" t="n"/>
      <c r="J36" s="165" t="n"/>
      <c r="K36" s="165" t="n"/>
    </row>
    <row r="37" hidden="1" ht="15" customHeight="1" s="163">
      <c r="A37" s="173" t="n"/>
      <c r="B37" s="172" t="n"/>
      <c r="C37" s="172" t="n"/>
      <c r="D37" s="165" t="n"/>
      <c r="E37" s="165" t="n"/>
      <c r="F37" s="165" t="n"/>
      <c r="G37" s="165" t="n"/>
      <c r="H37" s="165" t="n"/>
      <c r="I37" s="165" t="n"/>
      <c r="J37" s="165" t="n"/>
      <c r="K37" s="165" t="n"/>
    </row>
    <row r="38" hidden="1" ht="27.75" customHeight="1" s="163">
      <c r="A38" s="174" t="n"/>
      <c r="B38" s="165" t="n"/>
      <c r="C38" s="165" t="n"/>
      <c r="D38" s="165" t="n"/>
      <c r="E38" s="165" t="n"/>
      <c r="F38" s="165" t="n"/>
      <c r="G38" s="165" t="n"/>
      <c r="H38" s="165" t="n"/>
      <c r="I38" s="165" t="n"/>
      <c r="J38" s="165" t="n"/>
      <c r="K38" s="165" t="n"/>
    </row>
    <row r="39" hidden="1" ht="15" customHeight="1" s="163">
      <c r="A39" s="173" t="n"/>
      <c r="B39" s="172" t="n"/>
      <c r="C39" s="172" t="n"/>
      <c r="D39" s="165" t="n"/>
      <c r="E39" s="165" t="n"/>
      <c r="F39" s="165" t="n"/>
      <c r="G39" s="165" t="n"/>
      <c r="H39" s="165" t="n"/>
      <c r="I39" s="165" t="n"/>
      <c r="J39" s="165" t="n"/>
      <c r="K39" s="165" t="n"/>
    </row>
    <row r="40" hidden="1" ht="15" customHeight="1" s="163">
      <c r="A40" s="173" t="n"/>
      <c r="B40" s="172" t="n"/>
      <c r="C40" s="172" t="n"/>
      <c r="D40" s="165" t="n"/>
      <c r="E40" s="165" t="n"/>
      <c r="F40" s="165" t="n"/>
      <c r="G40" s="165" t="n"/>
      <c r="H40" s="165" t="n"/>
      <c r="I40" s="165" t="n"/>
      <c r="J40" s="165" t="n"/>
      <c r="K40" s="165" t="n"/>
    </row>
    <row r="41" hidden="1" ht="15" customHeight="1" s="163">
      <c r="A41" s="173" t="n"/>
      <c r="B41" s="172" t="n"/>
      <c r="C41" s="172" t="n"/>
      <c r="D41" s="165" t="n"/>
      <c r="E41" s="165" t="n"/>
      <c r="F41" s="165" t="n"/>
      <c r="G41" s="165" t="n"/>
      <c r="H41" s="165" t="n"/>
      <c r="I41" s="165" t="n"/>
      <c r="J41" s="165" t="n"/>
      <c r="K41" s="165" t="n"/>
    </row>
    <row r="42" ht="15" customHeight="1" s="163">
      <c r="A42" s="175" t="inlineStr">
        <is>
          <t>ESCOLAS</t>
        </is>
      </c>
      <c r="B42" s="176" t="n"/>
      <c r="C42" s="176" t="n"/>
    </row>
    <row r="43" ht="15" customHeight="1" s="163">
      <c r="A43" s="330" t="inlineStr">
        <is>
          <t>CÓDIGO</t>
        </is>
      </c>
      <c r="B43" s="331" t="inlineStr">
        <is>
          <t>ESCOLA (clique para abrir)</t>
        </is>
      </c>
      <c r="C43" s="331" t="inlineStr">
        <is>
          <t>BAIRRO</t>
        </is>
      </c>
    </row>
    <row r="44" ht="15" customHeight="1" s="163">
      <c r="A44" s="332">
        <f>'E M ABELARDO DE LAMARE'!B5</f>
        <v/>
      </c>
      <c r="B44" s="333">
        <f>HYPERLINK("#'E M ABELARDO DE LAMARE'!A1",'E M ABELARDO DE LAMARE'!B2)</f>
        <v/>
      </c>
      <c r="C44" s="333">
        <f>'E M ABELARDO DE LAMARE'!B3</f>
        <v/>
      </c>
    </row>
    <row r="45" ht="15" customHeight="1" s="163">
      <c r="A45" s="332">
        <f>'E M BATAILLARD'!B5</f>
        <v/>
      </c>
      <c r="B45" s="333">
        <f>HYPERLINK("#'E M BATAILLARD'!A1",'E M BATAILLARD'!B2)</f>
        <v/>
      </c>
      <c r="C45" s="333">
        <f>'E M BATAILLARD'!B3</f>
        <v/>
      </c>
    </row>
    <row r="46" ht="15" customHeight="1" s="163">
      <c r="A46" s="332">
        <f>'E M LEONARDO BOFF'!B5</f>
        <v/>
      </c>
      <c r="B46" s="333">
        <f>HYPERLINK("#'E M LEONARDO BOFF'!A1",'E M LEONARDO BOFF'!B2)</f>
        <v/>
      </c>
      <c r="C46" s="333">
        <f>'E M LEONARDO BOFF'!B3</f>
        <v/>
      </c>
    </row>
    <row r="47" ht="15" customHeight="1" s="163">
      <c r="A47" s="332">
        <f>'E M CLEMENTE FERNANDES'!B5</f>
        <v/>
      </c>
      <c r="B47" s="333">
        <f>HYPERLINK("#'E M CLEMENTE FERNANDES'!A1",'E M CLEMENTE FERNANDES'!B2)</f>
        <v/>
      </c>
      <c r="C47" s="333">
        <f>'E M CLEMENTE FERNANDES'!B3</f>
        <v/>
      </c>
    </row>
    <row r="48" ht="15" customHeight="1" s="163">
      <c r="A48" s="332">
        <f>'E M DOM PEDRO DE ALCÂNTARA'!B5</f>
        <v/>
      </c>
      <c r="B48" s="333">
        <f>HYPERLINK("#'E M DOM PEDRO DE ALCÂNTARA'!A1",'E M DOM PEDRO DE ALCÂNTARA'!B2)</f>
        <v/>
      </c>
      <c r="C48" s="333">
        <f>'E M DOM PEDRO DE ALCÂNTARA'!B3</f>
        <v/>
      </c>
    </row>
    <row r="49" ht="15" customHeight="1" s="163">
      <c r="A49" s="332">
        <f>'E M DUQUE DE CAXIAS'!B5</f>
        <v/>
      </c>
      <c r="B49" s="333">
        <f>HYPERLINK("#'E M DUQUE DE CAXIAS'!A1",'E M DUQUE DE CAXIAS'!B2)</f>
        <v/>
      </c>
      <c r="C49" s="333">
        <f>'E M DUQUE DE CAXIAS'!B3</f>
        <v/>
      </c>
    </row>
    <row r="50" ht="15" customHeight="1" s="163">
      <c r="A50" s="332">
        <f>'E M LUIZ CARLOS SOARES'!B5</f>
        <v/>
      </c>
      <c r="B50" s="333">
        <f>HYPERLINK("#'E M LUIZ CARLOS SOARES'!A1",'E M LUIZ CARLOS SOARES'!B2)</f>
        <v/>
      </c>
      <c r="C50" s="333">
        <f>'E M LUIZ CARLOS SOARES'!B3</f>
        <v/>
      </c>
    </row>
    <row r="51" ht="15" customHeight="1" s="163">
      <c r="A51" s="332">
        <f>'ESCOLA MUNICIPAL GENERAL HEITOR'!B5</f>
        <v/>
      </c>
      <c r="B51" s="333">
        <f>HYPERLINK("#'ESCOLA MUNICIPAL GENERAL HEITOR'!A1",'ESCOLA MUNICIPAL GENERAL HEITOR'!B2)</f>
        <v/>
      </c>
      <c r="C51" s="333">
        <f>'ESCOLA MUNICIPAL GENERAL HEITOR'!B3</f>
        <v/>
      </c>
    </row>
    <row r="52" ht="15" customHeight="1" s="163">
      <c r="A52" s="332">
        <f>'E M JOÃO KOPKE'!B5</f>
        <v/>
      </c>
      <c r="B52" s="333">
        <f>HYPERLINK("#'E M JOÃO KOPKE'!A1",'E M JOÃO KOPKE'!B2)</f>
        <v/>
      </c>
      <c r="C52" s="333">
        <f>'E M JOÃO KOPKE'!B3</f>
        <v/>
      </c>
    </row>
    <row r="53" ht="15" customHeight="1" s="163">
      <c r="A53" s="332">
        <f>'ESCOLA MUNICIPAL ODETTE FONSECA'!B5</f>
        <v/>
      </c>
      <c r="B53" s="333">
        <f>HYPERLINK("#'ESCOLA MUNICIPAL ODETTE FONSECA'!A1",'ESCOLA MUNICIPAL ODETTE FONSECA'!B2)</f>
        <v/>
      </c>
      <c r="C53" s="333">
        <f>'ESCOLA MUNICIPAL ODETTE FONSECA'!B3</f>
        <v/>
      </c>
    </row>
    <row r="54" ht="15" customHeight="1" s="163">
      <c r="A54" s="332">
        <f>'E M GOVERNADOR MARCELLO ALENCAR'!B5</f>
        <v/>
      </c>
      <c r="B54" s="333">
        <f>HYPERLINK("#'E M GOVERNADOR MARCELLO ALENCAR'!A1",'E M GOVERNADOR MARCELLO ALENCAR'!B2)</f>
        <v/>
      </c>
      <c r="C54" s="333">
        <f>'E M GOVERNADOR MARCELLO ALENCAR'!B3</f>
        <v/>
      </c>
    </row>
    <row r="55" ht="15" customHeight="1" s="163">
      <c r="A55" s="332">
        <f>'E M PROF JOAQUIM DEISTER'!B5</f>
        <v/>
      </c>
      <c r="B55" s="333">
        <f>HYPERLINK("#'E M PROF JOAQUIM DEISTER'!A1",'E M PROF JOAQUIM DEISTER'!B2)</f>
        <v/>
      </c>
      <c r="C55" s="333">
        <f>'E M PROF JOAQUIM DEISTER'!B3</f>
        <v/>
      </c>
    </row>
    <row r="56" ht="15" customHeight="1" s="163">
      <c r="A56" s="332">
        <f>'E M ROBERT KENNEDY'!B5</f>
        <v/>
      </c>
      <c r="B56" s="333">
        <f>HYPERLINK("#'E M ROBERT KENNEDY'!A1",'E M ROBERT KENNEDY'!B2)</f>
        <v/>
      </c>
      <c r="C56" s="333">
        <f>'E M ROBERT KENNEDY'!B3</f>
        <v/>
      </c>
    </row>
    <row r="57" ht="15" customHeight="1" s="163">
      <c r="A57" s="332">
        <f>'E M ROTARY'!B5</f>
        <v/>
      </c>
      <c r="B57" s="333">
        <f>HYPERLINK("#'E M ROTARY'!A1",'E M ROTARY'!B2)</f>
        <v/>
      </c>
      <c r="C57" s="333">
        <f>'E M ROTARY'!B3</f>
        <v/>
      </c>
    </row>
    <row r="58" ht="15" customHeight="1" s="163">
      <c r="A58" s="332">
        <f>'E M ROSALINA NICOLAY'!B5</f>
        <v/>
      </c>
      <c r="B58" s="333">
        <f>HYPERLINK("#'E M ROSALINA NICOLAY'!A1",'E M ROSALINA NICOLAY'!B2)</f>
        <v/>
      </c>
      <c r="C58" s="333">
        <f>'E M ROSALINA NICOLAY'!B3</f>
        <v/>
      </c>
    </row>
    <row r="59" ht="15" customHeight="1" s="163">
      <c r="A59" s="332">
        <f>'E M DE EDUCAÇÃO ESPECIAL SANTOS'!B5</f>
        <v/>
      </c>
      <c r="B59" s="333">
        <f>HYPERLINK("#'E M DE EDUCAÇÃO ESPECIAL SANTOS'!A1",'E M DE EDUCAÇÃO ESPECIAL SANTOS'!B2)</f>
        <v/>
      </c>
      <c r="C59" s="333">
        <f>'E M DE EDUCAÇÃO ESPECIAL SANTOS'!B3</f>
        <v/>
      </c>
    </row>
    <row r="60" ht="15" customHeight="1" s="163">
      <c r="A60" s="332">
        <f>'E M SOROPTIMISTA'!B5</f>
        <v/>
      </c>
      <c r="B60" s="333">
        <f>HYPERLINK("#'E M SOROPTIMISTA'!A1",'E M SOROPTIMISTA'!B2)</f>
        <v/>
      </c>
      <c r="C60" s="333">
        <f>'E M SOROPTIMISTA'!B3</f>
        <v/>
      </c>
    </row>
    <row r="61" ht="15" customHeight="1" s="163">
      <c r="A61" s="332">
        <f>'LICEU MUN PREFEITO CORDOLINO AM'!B5</f>
        <v/>
      </c>
      <c r="B61" s="333">
        <f>HYPERLINK("#'LICEU MUN PREFEITO CORDOLINO AM'!A1",'LICEU MUN PREFEITO CORDOLINO AM'!B2)</f>
        <v/>
      </c>
      <c r="C61" s="333">
        <f>'LICEU MUN PREFEITO CORDOLINO AM'!B3</f>
        <v/>
      </c>
    </row>
    <row r="62" ht="15" customHeight="1" s="163">
      <c r="A62" s="332">
        <f>'E M ANTÔNIO LEITE GARCIA'!B5</f>
        <v/>
      </c>
      <c r="B62" s="333">
        <f>HYPERLINK("#'E M ANTÔNIO LEITE GARCIA'!A1",'E M ANTÔNIO LEITE GARCIA'!B2)</f>
        <v/>
      </c>
      <c r="C62" s="333">
        <f>'E M ANTÔNIO LEITE GARCIA'!B3</f>
        <v/>
      </c>
    </row>
    <row r="63" ht="15" customHeight="1" s="163">
      <c r="A63" s="332">
        <f>'ESCOLA MUNICIPAL JORGE AMADO'!B5</f>
        <v/>
      </c>
      <c r="B63" s="333">
        <f>HYPERLINK("#'ESCOLA MUNICIPAL JORGE AMADO'!A1",'ESCOLA MUNICIPAL JORGE AMADO'!B2)</f>
        <v/>
      </c>
      <c r="C63" s="333">
        <f>'ESCOLA MUNICIPAL JORGE AMADO'!B3</f>
        <v/>
      </c>
    </row>
    <row r="64" ht="15" customHeight="1" s="163">
      <c r="A64" s="332">
        <f>'ESCOLA MUNICIPAL LÚCIA DE ALMEI'!B5</f>
        <v/>
      </c>
      <c r="B64" s="333">
        <f>HYPERLINK("#'ESCOLA MUNICIPAL LÚCIA DE ALMEI'!A1",'ESCOLA MUNICIPAL LÚCIA DE ALMEI'!B2)</f>
        <v/>
      </c>
      <c r="C64" s="333">
        <f>'ESCOLA MUNICIPAL LÚCIA DE ALMEI'!B3</f>
        <v/>
      </c>
    </row>
    <row r="65" ht="15" customHeight="1" s="163">
      <c r="A65" s="332">
        <f>'E M MAGDALENA TAGLIAFERRO'!B5</f>
        <v/>
      </c>
      <c r="B65" s="333">
        <f>HYPERLINK("#'E M MAGDALENA TAGLIAFERRO'!A1",'E M MAGDALENA TAGLIAFERRO'!B2)</f>
        <v/>
      </c>
      <c r="C65" s="333">
        <f>'E M MAGDALENA TAGLIAFERRO'!B3</f>
        <v/>
      </c>
    </row>
    <row r="66" ht="15" customHeight="1" s="163">
      <c r="A66" s="332">
        <f>'ESCOLA MUNICIPAL MAJOR JÚLIO FR'!B5</f>
        <v/>
      </c>
      <c r="B66" s="333">
        <f>HYPERLINK("#'ESCOLA MUNICIPAL MAJOR JÚLIO FR'!A1",'ESCOLA MUNICIPAL MAJOR JÚLIO FR'!B2)</f>
        <v/>
      </c>
      <c r="C66" s="333">
        <f>'ESCOLA MUNICIPAL MAJOR JÚLIO FR'!B3</f>
        <v/>
      </c>
    </row>
    <row r="67" ht="15" customHeight="1" s="163">
      <c r="A67" s="332">
        <f>'E M MARIETA GONÇALVES'!B5</f>
        <v/>
      </c>
      <c r="B67" s="333">
        <f>HYPERLINK("#'E M MARIETA GONÇALVES'!A1",'E M MARIETA GONÇALVES'!B2)</f>
        <v/>
      </c>
      <c r="C67" s="333">
        <f>'E M MARIETA GONÇALVES'!B3</f>
        <v/>
      </c>
    </row>
    <row r="68" ht="15" customHeight="1" s="163">
      <c r="A68" s="332">
        <f>'ESCOLA MUNICIPAL ODETTE YOUNG M'!B5</f>
        <v/>
      </c>
      <c r="B68" s="333">
        <f>HYPERLINK("#'ESCOLA MUNICIPAL ODETTE YOUNG M'!A1",'ESCOLA MUNICIPAL ODETTE YOUNG M'!B2)</f>
        <v/>
      </c>
      <c r="C68" s="333">
        <f>'ESCOLA MUNICIPAL ODETTE YOUNG M'!B3</f>
        <v/>
      </c>
    </row>
    <row r="69" ht="15" customHeight="1" s="163">
      <c r="A69" s="332">
        <f>'E M FÁBRICA DO SABER'!B5</f>
        <v/>
      </c>
      <c r="B69" s="333">
        <f>HYPERLINK("#'E M FÁBRICA DO SABER'!A1",'E M FÁBRICA DO SABER'!B2)</f>
        <v/>
      </c>
      <c r="C69" s="333">
        <f>'E M FÁBRICA DO SABER'!B3</f>
        <v/>
      </c>
    </row>
    <row r="70" ht="15" customHeight="1" s="163">
      <c r="A70" s="332">
        <f>'ESCOLA MUNICIPAL PROFESSOR PAUL'!B5</f>
        <v/>
      </c>
      <c r="B70" s="333">
        <f>HYPERLINK("#'ESCOLA MUNICIPAL PROFESSOR PAUL'!A1",'ESCOLA MUNICIPAL PROFESSOR PAUL'!B2)</f>
        <v/>
      </c>
      <c r="C70" s="333">
        <f>'ESCOLA MUNICIPAL PROFESSOR PAUL'!B3</f>
        <v/>
      </c>
    </row>
    <row r="71" ht="15" customHeight="1" s="163">
      <c r="A71" s="332">
        <f>'E M ROSEMIRA DE OLIVEIRA CAVALC'!B5</f>
        <v/>
      </c>
      <c r="B71" s="333">
        <f>HYPERLINK("#'E M ROSEMIRA DE OLIVEIRA CAVALC'!A1",'E M ROSEMIRA DE OLIVEIRA CAVALC'!B2)</f>
        <v/>
      </c>
      <c r="C71" s="333">
        <f>'E M ROSEMIRA DE OLIVEIRA CAVALC'!B3</f>
        <v/>
      </c>
    </row>
    <row r="72" ht="15" customHeight="1" s="163">
      <c r="A72" s="332">
        <f>'E M AMÉLIA ANTUNES RABELLO'!B5</f>
        <v/>
      </c>
      <c r="B72" s="333">
        <f>HYPERLINK("#'E M AMÉLIA ANTUNES RABELLO'!A1",'E M AMÉLIA ANTUNES RABELLO'!B2)</f>
        <v/>
      </c>
      <c r="C72" s="333">
        <f>'E M AMÉLIA ANTUNES RABELLO'!B3</f>
        <v/>
      </c>
    </row>
    <row r="73" ht="15" customHeight="1" s="163">
      <c r="A73" s="332">
        <f>'ESCOLA MUNICIPAL AUGUSTO PUGNAL'!B5</f>
        <v/>
      </c>
      <c r="B73" s="333">
        <f>HYPERLINK("#'ESCOLA MUNICIPAL AUGUSTO PUGNAL'!A1",'ESCOLA MUNICIPAL AUGUSTO PUGNAL'!B2)</f>
        <v/>
      </c>
      <c r="C73" s="333">
        <f>'ESCOLA MUNICIPAL AUGUSTO PUGNAL'!B3</f>
        <v/>
      </c>
    </row>
    <row r="74" ht="15" customHeight="1" s="163">
      <c r="A74" s="332">
        <f>'ESCOLA MUNICIPAL CELINA SCHECHN'!B5</f>
        <v/>
      </c>
      <c r="B74" s="333">
        <f>HYPERLINK("#'ESCOLA MUNICIPAL CELINA SCHECHN'!A1",'ESCOLA MUNICIPAL CELINA SCHECHN'!B2)</f>
        <v/>
      </c>
      <c r="C74" s="333">
        <f>'ESCOLA MUNICIPAL CELINA SCHECHN'!B3</f>
        <v/>
      </c>
    </row>
    <row r="75" ht="15" customHeight="1" s="163">
      <c r="A75" s="332">
        <f>'E M DARCY CORREA DA VEIGA'!B5</f>
        <v/>
      </c>
      <c r="B75" s="333">
        <f>HYPERLINK("#'E M DARCY CORREA DA VEIGA'!A1",'E M DARCY CORREA DA VEIGA'!B2)</f>
        <v/>
      </c>
      <c r="C75" s="333">
        <f>'E M DARCY CORREA DA VEIGA'!B3</f>
        <v/>
      </c>
    </row>
    <row r="76" ht="15" customHeight="1" s="163">
      <c r="A76" s="332">
        <f>'E M DR PAULA BUARQUE'!B5</f>
        <v/>
      </c>
      <c r="B76" s="333">
        <f>HYPERLINK("#'E M DR PAULA BUARQUE'!A1",'E M DR PAULA BUARQUE'!B2)</f>
        <v/>
      </c>
      <c r="C76" s="333">
        <f>'E M DR PAULA BUARQUE'!B3</f>
        <v/>
      </c>
    </row>
    <row r="77" ht="15" customHeight="1" s="163">
      <c r="A77" s="332">
        <f>'E M DR THEODORO MACHADO'!B5</f>
        <v/>
      </c>
      <c r="B77" s="333">
        <f>HYPERLINK("#'E M DR THEODORO MACHADO'!A1",'E M DR THEODORO MACHADO'!B2)</f>
        <v/>
      </c>
      <c r="C77" s="333">
        <f>'E M DR THEODORO MACHADO'!B3</f>
        <v/>
      </c>
    </row>
    <row r="78" ht="15" customHeight="1" s="163">
      <c r="A78" s="332">
        <f>'E M ARNALDO DYCKERHOFF'!B5</f>
        <v/>
      </c>
      <c r="B78" s="333">
        <f>HYPERLINK("#'E M ARNALDO DYCKERHOFF'!A1",'E M ARNALDO DYCKERHOFF'!B2)</f>
        <v/>
      </c>
      <c r="C78" s="333">
        <f>'E M ARNALDO DYCKERHOFF'!B3</f>
        <v/>
      </c>
    </row>
    <row r="79" ht="15" customHeight="1" s="163">
      <c r="A79" s="332">
        <f>'E M CARLOS CANEDO'!B5</f>
        <v/>
      </c>
      <c r="B79" s="333">
        <f>HYPERLINK("#'E M CARLOS CANEDO'!A1",'E M CARLOS CANEDO'!B2)</f>
        <v/>
      </c>
      <c r="C79" s="333">
        <f>'E M CARLOS CANEDO'!B3</f>
        <v/>
      </c>
    </row>
    <row r="80" ht="15" customHeight="1" s="163">
      <c r="A80" s="332">
        <f>'E M DR BARROS FRANCO'!B5</f>
        <v/>
      </c>
      <c r="B80" s="333">
        <f>HYPERLINK("#'E M DR BARROS FRANCO'!A1",'E M DR BARROS FRANCO'!B2)</f>
        <v/>
      </c>
      <c r="C80" s="333">
        <f>'E M DR BARROS FRANCO'!B3</f>
        <v/>
      </c>
    </row>
    <row r="81" ht="15" customHeight="1" s="163">
      <c r="A81" s="332">
        <f>'E M MAJOR THEÓFILO DE CARVALHO'!B5</f>
        <v/>
      </c>
      <c r="B81" s="333">
        <f>HYPERLINK("#'E M MAJOR THEÓFILO DE CARVALHO'!A1",'E M MAJOR THEÓFILO DE CARVALHO'!B2)</f>
        <v/>
      </c>
      <c r="C81" s="333">
        <f>'E M MAJOR THEÓFILO DE CARVALHO'!B3</f>
        <v/>
      </c>
    </row>
    <row r="82" ht="15" customHeight="1" s="163">
      <c r="A82" s="332">
        <f>'E M TAQUARIL'!B5</f>
        <v/>
      </c>
      <c r="B82" s="333">
        <f>HYPERLINK("#'E M TAQUARIL'!A1",'E M TAQUARIL'!B2)</f>
        <v/>
      </c>
      <c r="C82" s="333">
        <f>'E M TAQUARIL'!B3</f>
        <v/>
      </c>
    </row>
    <row r="83" ht="15" customHeight="1" s="163">
      <c r="A83" s="332">
        <f>'E M BEATRIZ ZALESKI'!B5</f>
        <v/>
      </c>
      <c r="B83" s="333">
        <f>HYPERLINK("#'E M BEATRIZ ZALESKI'!A1",'E M BEATRIZ ZALESKI'!B2)</f>
        <v/>
      </c>
      <c r="C83" s="333">
        <f>'E M BEATRIZ ZALESKI'!B3</f>
        <v/>
      </c>
    </row>
    <row r="84" ht="15" customHeight="1" s="163">
      <c r="A84" s="332">
        <f>'E M ANTÔNIO JOSÉ DE LIMA'!B5</f>
        <v/>
      </c>
      <c r="B84" s="333">
        <f>HYPERLINK("#'E M ANTÔNIO JOSÉ DE LIMA'!A1",'E M ANTÔNIO JOSÉ DE LIMA'!B2)</f>
        <v/>
      </c>
      <c r="C84" s="333">
        <f>'E M ANTÔNIO JOSÉ DE LIMA'!B3</f>
        <v/>
      </c>
    </row>
    <row r="85" ht="15" customHeight="1" s="163">
      <c r="A85" s="332">
        <f>'E M FELIX WAN ERVEN DE BARROS'!B5</f>
        <v/>
      </c>
      <c r="B85" s="333">
        <f>HYPERLINK("#'E M FELIX WAN ERVEN DE BARROS'!A1",'E M FELIX WAN ERVEN DE BARROS'!B2)</f>
        <v/>
      </c>
      <c r="C85" s="333">
        <f>'E M FELIX WAN ERVEN DE BARROS'!B3</f>
        <v/>
      </c>
    </row>
    <row r="86" ht="15" customHeight="1" s="163">
      <c r="A86" s="332">
        <f>'ESCOLA MUNICIPAL HILDEBRANDO DE'!B5</f>
        <v/>
      </c>
      <c r="B86" s="333">
        <f>HYPERLINK("#'ESCOLA MUNICIPAL HILDEBRANDO DE'!A1",'ESCOLA MUNICIPAL HILDEBRANDO DE'!B2)</f>
        <v/>
      </c>
      <c r="C86" s="333">
        <f>'ESCOLA MUNICIPAL HILDEBRANDO DE'!B3</f>
        <v/>
      </c>
    </row>
    <row r="87" ht="15" customHeight="1" s="163">
      <c r="A87" s="332">
        <f>'E M OSWALDO DA COSTA FRIAS'!B5</f>
        <v/>
      </c>
      <c r="B87" s="333">
        <f>HYPERLINK("#'E M OSWALDO DA COSTA FRIAS'!A1",'E M OSWALDO DA COSTA FRIAS'!B2)</f>
        <v/>
      </c>
      <c r="C87" s="333">
        <f>'E M OSWALDO DA COSTA FRIAS'!B3</f>
        <v/>
      </c>
    </row>
    <row r="88" ht="15" customHeight="1" s="163">
      <c r="A88" s="332">
        <f>'E MZDA CARMEM NUNES MARTINS'!B5</f>
        <v/>
      </c>
      <c r="B88" s="333">
        <f>HYPERLINK("#'E MZDA CARMEM NUNES MARTINS'!A1",'E MZDA CARMEM NUNES MARTINS'!B2)</f>
        <v/>
      </c>
      <c r="C88" s="333">
        <f>'E MZDA CARMEM NUNES MARTINS'!B3</f>
        <v/>
      </c>
    </row>
    <row r="89" ht="15" customHeight="1" s="163">
      <c r="A89" s="332">
        <f>'E MZDA AVELINO DE CARVALHO'!B5</f>
        <v/>
      </c>
      <c r="B89" s="333">
        <f>HYPERLINK("#'E MZDA AVELINO DE CARVALHO'!A1",'E MZDA AVELINO DE CARVALHO'!B2)</f>
        <v/>
      </c>
      <c r="C89" s="333">
        <f>'E MZDA AVELINO DE CARVALHO'!B3</f>
        <v/>
      </c>
    </row>
    <row r="90" ht="15" customHeight="1" s="163">
      <c r="A90" s="332">
        <f>'E M GERALDO VENTURA DIAS'!B5</f>
        <v/>
      </c>
      <c r="B90" s="333">
        <f>HYPERLINK("#'E M GERALDO VENTURA DIAS'!A1",'E M GERALDO VENTURA DIAS'!B2)</f>
        <v/>
      </c>
      <c r="C90" s="333">
        <f>'E M GERALDO VENTURA DIAS'!B3</f>
        <v/>
      </c>
    </row>
    <row r="91" ht="15" customHeight="1" s="163">
      <c r="A91" s="332">
        <f>'E M SALVADOR KLING'!B5</f>
        <v/>
      </c>
      <c r="B91" s="333">
        <f>HYPERLINK("#'E M SALVADOR KLING'!A1",'E M SALVADOR KLING'!B2)</f>
        <v/>
      </c>
      <c r="C91" s="333">
        <f>'E M SALVADOR KLING'!B3</f>
        <v/>
      </c>
    </row>
    <row r="92" ht="15" customHeight="1" s="163">
      <c r="A92" s="332">
        <f>'E M PREFEITO JAMIL SABRÁ'!B5</f>
        <v/>
      </c>
      <c r="B92" s="333">
        <f>HYPERLINK("#'E M PREFEITO JAMIL SABRÁ'!A1",'E M PREFEITO JAMIL SABRÁ'!B2)</f>
        <v/>
      </c>
      <c r="C92" s="333">
        <f>'E M PREFEITO JAMIL SABRÁ'!B3</f>
        <v/>
      </c>
    </row>
    <row r="93" ht="15" customHeight="1" s="163">
      <c r="A93" s="332">
        <f>'LICEU MUNICIPAL CARLOS CHAGAS F'!B5</f>
        <v/>
      </c>
      <c r="B93" s="333">
        <f>HYPERLINK("#'LICEU MUNICIPAL CARLOS CHAGAS F'!A1",'LICEU MUNICIPAL CARLOS CHAGAS F'!B2)</f>
        <v/>
      </c>
      <c r="C93" s="333">
        <f>'LICEU MUNICIPAL CARLOS CHAGAS F'!B3</f>
        <v/>
      </c>
    </row>
    <row r="94" ht="15" customHeight="1" s="163">
      <c r="A94" s="332">
        <f>'ESCOLA MUNICIPAL ANA MOHAMMAD'!B5</f>
        <v/>
      </c>
      <c r="B94" s="333">
        <f>HYPERLINK("#'ESCOLA MUNICIPAL ANA MOHAMMAD'!A1",'ESCOLA MUNICIPAL ANA MOHAMMAD'!B2)</f>
        <v/>
      </c>
      <c r="C94" s="333">
        <f>'ESCOLA MUNICIPAL ANA MOHAMMAD'!B3</f>
        <v/>
      </c>
    </row>
    <row r="95" ht="15" customHeight="1" s="163">
      <c r="A95" s="332">
        <f>'ESCOLA MUNICIPAL ALTO INDEPENDÊ'!B5</f>
        <v/>
      </c>
      <c r="B95" s="333">
        <f>HYPERLINK("#'ESCOLA MUNICIPAL ALTO INDEPENDÊ'!A1",'ESCOLA MUNICIPAL ALTO INDEPENDÊ'!B2)</f>
        <v/>
      </c>
      <c r="C95" s="333">
        <f>'ESCOLA MUNICIPAL ALTO INDEPENDÊ'!B3</f>
        <v/>
      </c>
    </row>
    <row r="96" ht="15" customHeight="1" s="163">
      <c r="A96" s="332">
        <f>'E M ALMIRANTE TAMANDARÉ'!B5</f>
        <v/>
      </c>
      <c r="B96" s="333">
        <f>HYPERLINK("#'E M ALMIRANTE TAMANDARÉ'!A1",'E M ALMIRANTE TAMANDARÉ'!B2)</f>
        <v/>
      </c>
      <c r="C96" s="333">
        <f>'E M ALMIRANTE TAMANDARÉ'!B3</f>
        <v/>
      </c>
    </row>
    <row r="97" ht="15" customHeight="1" s="163">
      <c r="A97" s="332">
        <f>'ESCOLA MUNICIPALIZADA FREI ANIC'!B5</f>
        <v/>
      </c>
      <c r="B97" s="333">
        <f>HYPERLINK("#'ESCOLA MUNICIPALIZADA FREI ANIC'!A1",'ESCOLA MUNICIPALIZADA FREI ANIC'!B2)</f>
        <v/>
      </c>
      <c r="C97" s="333">
        <f>'ESCOLA MUNICIPALIZADA FREI ANIC'!B3</f>
        <v/>
      </c>
    </row>
    <row r="98" ht="15" customHeight="1" s="163">
      <c r="A98" s="332">
        <f>'E M PEDRO AMADO'!B5</f>
        <v/>
      </c>
      <c r="B98" s="333">
        <f>HYPERLINK("#'E M PEDRO AMADO'!A1",'E M PEDRO AMADO'!B2)</f>
        <v/>
      </c>
      <c r="C98" s="333">
        <f>'E M PEDRO AMADO'!B3</f>
        <v/>
      </c>
    </row>
    <row r="99" ht="15" customHeight="1" s="163">
      <c r="A99" s="332">
        <f>'E M PROFª MARIA DA GLÓRIA QUEIR'!B5</f>
        <v/>
      </c>
      <c r="B99" s="333">
        <f>HYPERLINK("#'E M PROFª MARIA DA GLÓRIA QUEIR'!A1",'E M PROFª MARIA DA GLÓRIA QUEIR'!B2)</f>
        <v/>
      </c>
      <c r="C99" s="333">
        <f>'E M PROFª MARIA DA GLÓRIA QUEIR'!B3</f>
        <v/>
      </c>
    </row>
    <row r="100" ht="15" customHeight="1" s="163">
      <c r="A100" s="332">
        <f>'E M SEBASTIÃO LACERDA'!B5</f>
        <v/>
      </c>
      <c r="B100" s="333">
        <f>HYPERLINK("#'E M SEBASTIÃO LACERDA'!A1",'E M SEBASTIÃO LACERDA'!B2)</f>
        <v/>
      </c>
      <c r="C100" s="333">
        <f>'E M SEBASTIÃO LACERDA'!B3</f>
        <v/>
      </c>
    </row>
    <row r="101" ht="15" customHeight="1" s="163">
      <c r="A101" s="332">
        <f>'E M PROFESSOR FLÁVIO MACIEL'!B5</f>
        <v/>
      </c>
      <c r="B101" s="333">
        <f>HYPERLINK("#'E M PROFESSOR FLÁVIO MACIEL'!A1",'E M PROFESSOR FLÁVIO MACIEL'!B2)</f>
        <v/>
      </c>
      <c r="C101" s="333">
        <f>'E M PROFESSOR FLÁVIO MACIEL'!B3</f>
        <v/>
      </c>
    </row>
    <row r="102" ht="15" customHeight="1" s="163">
      <c r="A102" s="332">
        <f>'ESCOLA MUNICIPAL PAULO SALDANHA'!B5</f>
        <v/>
      </c>
      <c r="B102" s="333">
        <f>HYPERLINK("#'ESCOLA MUNICIPAL PAULO SALDANHA'!A1",'ESCOLA MUNICIPAL PAULO SALDANHA'!B2)</f>
        <v/>
      </c>
      <c r="C102" s="333">
        <f>'ESCOLA MUNICIPAL PAULO SALDANHA'!B3</f>
        <v/>
      </c>
    </row>
    <row r="103" ht="15" customHeight="1" s="163">
      <c r="A103" s="332">
        <f>'ESCOLA MUNICIPAL PROFESSOR JOSE'!B5</f>
        <v/>
      </c>
      <c r="B103" s="333">
        <f>HYPERLINK("#'ESCOLA MUNICIPAL PROFESSOR JOSE'!A1",'ESCOLA MUNICIPAL PROFESSOR JOSE'!B2)</f>
        <v/>
      </c>
      <c r="C103" s="333">
        <f>'ESCOLA MUNICIPAL PROFESSOR JOSE'!B3</f>
        <v/>
      </c>
    </row>
    <row r="104" ht="15" customHeight="1" s="163">
      <c r="A104" s="332">
        <f>'E M MONSENHOR CIRILLO CALAON'!B5</f>
        <v/>
      </c>
      <c r="B104" s="333">
        <f>HYPERLINK("#'E M MONSENHOR CIRILLO CALAON'!A1",'E M MONSENHOR CIRILLO CALAON'!B2)</f>
        <v/>
      </c>
      <c r="C104" s="333">
        <f>'E M MONSENHOR CIRILLO CALAON'!B3</f>
        <v/>
      </c>
    </row>
    <row r="105" ht="15" customHeight="1" s="163">
      <c r="A105" s="332">
        <f>'E M AMÉRICO FERNANDES RIBEIRO'!B5</f>
        <v/>
      </c>
      <c r="B105" s="333">
        <f>HYPERLINK("#'E M AMÉRICO FERNANDES RIBEIRO'!A1",'E M AMÉRICO FERNANDES RIBEIRO'!B2)</f>
        <v/>
      </c>
      <c r="C105" s="333">
        <f>'E M AMÉRICO FERNANDES RIBEIRO'!B3</f>
        <v/>
      </c>
    </row>
    <row r="106" ht="15" customHeight="1" s="163">
      <c r="A106" s="332">
        <f>'E M PROFª JANDIRA PEIXOTO BORDI'!B5</f>
        <v/>
      </c>
      <c r="B106" s="333">
        <f>HYPERLINK("#'E M PROFª JANDIRA PEIXOTO BORDI'!A1",'E M PROFª JANDIRA PEIXOTO BORDI'!B2)</f>
        <v/>
      </c>
      <c r="C106" s="333">
        <f>'E M PROFª JANDIRA PEIXOTO BORDI'!B3</f>
        <v/>
      </c>
    </row>
    <row r="107" ht="15" customHeight="1" s="163">
      <c r="A107" s="332">
        <f>'E M MONSENHOR JOÃO DE DEUS RODR'!B5</f>
        <v/>
      </c>
      <c r="B107" s="333">
        <f>HYPERLINK("#'E M MONSENHOR JOÃO DE DEUS RODR'!A1",'E M MONSENHOR JOÃO DE DEUS RODR'!B2)</f>
        <v/>
      </c>
      <c r="C107" s="333">
        <f>'E M MONSENHOR JOÃO DE DEUS RODR'!B3</f>
        <v/>
      </c>
    </row>
    <row r="108" ht="15" customHeight="1" s="163">
      <c r="A108" s="332">
        <f>'E M DOM MANOEL PEDRO DA CUNHA C'!B5</f>
        <v/>
      </c>
      <c r="B108" s="333">
        <f>HYPERLINK("#'E M DOM MANOEL PEDRO DA CUNHA C'!A1",'E M DOM MANOEL PEDRO DA CUNHA C'!B2)</f>
        <v/>
      </c>
      <c r="C108" s="333">
        <f>'E M DOM MANOEL PEDRO DA CUNHA C'!B3</f>
        <v/>
      </c>
    </row>
    <row r="109" ht="15" customHeight="1" s="163">
      <c r="A109" s="332">
        <f>'E M JOHANN NOEL'!B5</f>
        <v/>
      </c>
      <c r="B109" s="333">
        <f>HYPERLINK("#'E M JOHANN NOEL'!A1",'E M JOHANN NOEL'!B2)</f>
        <v/>
      </c>
      <c r="C109" s="333">
        <f>'E M JOHANN NOEL'!B3</f>
        <v/>
      </c>
    </row>
    <row r="110" ht="15" customHeight="1" s="163">
      <c r="A110" s="332">
        <f>'E MZDA SANTA TEREZINHA'!B5</f>
        <v/>
      </c>
      <c r="B110" s="333">
        <f>HYPERLINK("#'E MZDA SANTA TEREZINHA'!A1",'E MZDA SANTA TEREZINHA'!B2)</f>
        <v/>
      </c>
      <c r="C110" s="333">
        <f>'E MZDA SANTA TEREZINHA'!B3</f>
        <v/>
      </c>
    </row>
    <row r="111" ht="15" customHeight="1" s="163">
      <c r="A111" s="332">
        <f>'E M PAPA JOÃO PAULO II'!B5</f>
        <v/>
      </c>
      <c r="B111" s="333">
        <f>HYPERLINK("#'E M PAPA JOÃO PAULO II'!A1",'E M PAPA JOÃO PAULO II'!B2)</f>
        <v/>
      </c>
      <c r="C111" s="333">
        <f>'E M PAPA JOÃO PAULO II'!B3</f>
        <v/>
      </c>
    </row>
    <row r="112" ht="15" customHeight="1" s="163">
      <c r="A112" s="332">
        <f>'E M STEFAN ZWEIG'!B5</f>
        <v/>
      </c>
      <c r="B112" s="333">
        <f>HYPERLINK("#'E M STEFAN ZWEIG'!A1",'E M STEFAN ZWEIG'!B2)</f>
        <v/>
      </c>
      <c r="C112" s="333">
        <f>'E M STEFAN ZWEIG'!B3</f>
        <v/>
      </c>
    </row>
    <row r="113" ht="15" customHeight="1" s="163">
      <c r="A113" s="332">
        <f>'ESCOLA MUNICIPAL SENADOR MARIO '!B5</f>
        <v/>
      </c>
      <c r="B113" s="333">
        <f>HYPERLINK("#'ESCOLA MUNICIPAL SENADOR MARIO '!A1",'ESCOLA MUNICIPAL SENADOR MARIO '!B2)</f>
        <v/>
      </c>
      <c r="C113" s="333">
        <f>'ESCOLA MUNICIPAL SENADOR MARIO '!B3</f>
        <v/>
      </c>
    </row>
    <row r="114" ht="15" customHeight="1" s="163">
      <c r="A114" s="332">
        <f>'E M DR RUBENS DE CASTRO BOMTEMP'!B5</f>
        <v/>
      </c>
      <c r="B114" s="333">
        <f>HYPERLINK("#'E M DR RUBENS DE CASTRO BOMTEMP'!A1",'E M DR RUBENS DE CASTRO BOMTEMP'!B2)</f>
        <v/>
      </c>
      <c r="C114" s="333">
        <f>'E M DR RUBENS DE CASTRO BOMTEMP'!B3</f>
        <v/>
      </c>
    </row>
    <row r="115" ht="15" customHeight="1" s="163">
      <c r="A115" s="332">
        <f>'E M PAULO FREIRE'!B5</f>
        <v/>
      </c>
      <c r="B115" s="333">
        <f>HYPERLINK("#'E M PAULO FREIRE'!A1",'E M PAULO FREIRE'!B2)</f>
        <v/>
      </c>
      <c r="C115" s="333">
        <f>'E M PAULO FREIRE'!B3</f>
        <v/>
      </c>
    </row>
    <row r="116" ht="15" customHeight="1" s="163">
      <c r="A116" s="332">
        <f>'E M PROFª MARIA CAMPOS DA SILVA'!B5</f>
        <v/>
      </c>
      <c r="B116" s="333">
        <f>HYPERLINK("#'E M PROFª MARIA CAMPOS DA SILVA'!A1",'E M PROFª MARIA CAMPOS DA SILVA'!B2)</f>
        <v/>
      </c>
      <c r="C116" s="333">
        <f>'E M PROFª MARIA CAMPOS DA SILVA'!B3</f>
        <v/>
      </c>
    </row>
    <row r="117" ht="15" customHeight="1" s="163">
      <c r="A117" s="332">
        <f>'E M HERCÍLIA HENRIQUES MORET'!B5</f>
        <v/>
      </c>
      <c r="B117" s="333">
        <f>HYPERLINK("#'E M HERCÍLIA HENRIQUES MORET'!A1",'E M HERCÍLIA HENRIQUES MORET'!B2)</f>
        <v/>
      </c>
      <c r="C117" s="333">
        <f>'E M HERCÍLIA HENRIQUES MORET'!B3</f>
        <v/>
      </c>
    </row>
    <row r="118" ht="15" customHeight="1" s="163">
      <c r="A118" s="332">
        <f>'ESCOLA MUNICIPALIZADA MOYSÉS FU'!B5</f>
        <v/>
      </c>
      <c r="B118" s="333">
        <f>HYPERLINK("#'ESCOLA MUNICIPALIZADA MOYSÉS FU'!A1",'ESCOLA MUNICIPALIZADA MOYSÉS FU'!B2)</f>
        <v/>
      </c>
      <c r="C118" s="333">
        <f>'ESCOLA MUNICIPALIZADA MOYSÉS FU'!B3</f>
        <v/>
      </c>
    </row>
    <row r="119" ht="15" customHeight="1" s="163">
      <c r="A119" s="332">
        <f>'CIEP BRIZOLÃO 474 MAESTRO GUERR'!B5</f>
        <v/>
      </c>
      <c r="B119" s="333">
        <f>HYPERLINK("#'CIEP BRIZOLÃO 474 MAESTRO GUERR'!A1",'CIEP BRIZOLÃO 474 MAESTRO GUERR'!B2)</f>
        <v/>
      </c>
      <c r="C119" s="333">
        <f>'CIEP BRIZOLÃO 474 MAESTRO GUERR'!B3</f>
        <v/>
      </c>
    </row>
    <row r="120" ht="15" customHeight="1" s="163">
      <c r="A120" s="332">
        <f>'CENTRO DE ENSINO PROF DARCY RIB'!B5</f>
        <v/>
      </c>
      <c r="B120" s="333">
        <f>HYPERLINK("#'CENTRO DE ENSINO PROF DARCY RIB'!A1",'CENTRO DE ENSINO PROF DARCY RIB'!B2)</f>
        <v/>
      </c>
      <c r="C120" s="333">
        <f>'CENTRO DE ENSINO PROF DARCY RIB'!B3</f>
        <v/>
      </c>
    </row>
    <row r="121" ht="15" customHeight="1" s="163">
      <c r="A121" s="332">
        <f>'CASA DA EDUCAÇÃO VISCONDE DE MA'!B5</f>
        <v/>
      </c>
      <c r="B121" s="333">
        <f>HYPERLINK("#'CASA DA EDUCAÇÃO VISCONDE DE MA'!A1",'CASA DA EDUCAÇÃO VISCONDE DE MA'!B2)</f>
        <v/>
      </c>
      <c r="C121" s="333">
        <f>'CASA DA EDUCAÇÃO VISCONDE DE MA'!B3</f>
        <v/>
      </c>
    </row>
    <row r="122" ht="15" customHeight="1" s="163">
      <c r="A122" s="332">
        <f>'CENTRO DE REFERÊNCIA EM EDUCAÇÃ'!B5</f>
        <v/>
      </c>
      <c r="B122" s="333">
        <f>HYPERLINK("#'CENTRO DE REFERÊNCIA EM EDUCAÇÃ'!A1",'CENTRO DE REFERÊNCIA EM EDUCAÇÃ'!B2)</f>
        <v/>
      </c>
      <c r="C122" s="333">
        <f>'CENTRO DE REFERÊNCIA EM EDUCAÇÃ'!B3</f>
        <v/>
      </c>
    </row>
    <row r="123" ht="15" customHeight="1" s="163">
      <c r="A123" s="332">
        <f>'E M PROF NILTON COSTA PEREIRA D'!B5</f>
        <v/>
      </c>
      <c r="B123" s="333">
        <f>HYPERLINK("#'E M PROF NILTON COSTA PEREIRA D'!A1",'E M PROF NILTON COSTA PEREIRA D'!B2)</f>
        <v/>
      </c>
      <c r="C123" s="333">
        <f>'E M PROF NILTON COSTA PEREIRA D'!B3</f>
        <v/>
      </c>
    </row>
    <row r="124" ht="15" customHeight="1" s="163">
      <c r="A124" s="332">
        <f>'COLÉGIO GUNNAR VINGREN DE PETRÓ'!B5</f>
        <v/>
      </c>
      <c r="B124" s="333">
        <f>HYPERLINK("#'COLÉGIO GUNNAR VINGREN DE PETRÓ'!A1",'COLÉGIO GUNNAR VINGREN DE PETRÓ'!B2)</f>
        <v/>
      </c>
      <c r="C124" s="333">
        <f>'COLÉGIO GUNNAR VINGREN DE PETRÓ'!B3</f>
        <v/>
      </c>
    </row>
    <row r="125" ht="15" customHeight="1" s="163">
      <c r="A125" s="332">
        <f>'CENTRO DE REFERÊNCIA EM EDUC 2'!B5</f>
        <v/>
      </c>
      <c r="B125" s="333">
        <f>HYPERLINK("#'CENTRO DE REFERÊNCIA EM EDUC 2'!A1",'CENTRO DE REFERÊNCIA EM EDUC 2'!B2)</f>
        <v/>
      </c>
      <c r="C125" s="333">
        <f>'CENTRO DE REFERÊNCIA EM EDUC 2'!B3</f>
        <v/>
      </c>
    </row>
    <row r="126" ht="15" customHeight="1" s="163">
      <c r="A126" s="332">
        <f>'ESCOLA SANTA LUIZA DE MARILLAC'!B5</f>
        <v/>
      </c>
      <c r="B126" s="333">
        <f>HYPERLINK("#'ESCOLA SANTA LUIZA DE MARILLAC'!A1",'ESCOLA SANTA LUIZA DE MARILLAC'!B2)</f>
        <v/>
      </c>
      <c r="C126" s="333">
        <f>'ESCOLA SANTA LUIZA DE MARILLAC'!B3</f>
        <v/>
      </c>
    </row>
    <row r="127" ht="15" customHeight="1" s="163">
      <c r="A127" s="332">
        <f>'CENTRO EDUCACIONAL COMUNIDADE S'!B5</f>
        <v/>
      </c>
      <c r="B127" s="333">
        <f>HYPERLINK("#'CENTRO EDUCACIONAL COMUNIDADE S'!A1",'CENTRO EDUCACIONAL COMUNIDADE S'!B2)</f>
        <v/>
      </c>
      <c r="C127" s="333">
        <f>'CENTRO EDUCACIONAL COMUNIDADE S'!B3</f>
        <v/>
      </c>
    </row>
    <row r="128" ht="15" customHeight="1" s="163">
      <c r="A128" s="332">
        <f>'EDUCANDÁRIO TERRA SANTA'!B5</f>
        <v/>
      </c>
      <c r="B128" s="333">
        <f>HYPERLINK("#'EDUCANDÁRIO TERRA SANTA'!A1",'EDUCANDÁRIO TERRA SANTA'!B2)</f>
        <v/>
      </c>
      <c r="C128" s="333">
        <f>'EDUCANDÁRIO TERRA SANTA'!B3</f>
        <v/>
      </c>
    </row>
    <row r="129" ht="15" customHeight="1" s="163">
      <c r="A129" s="332">
        <f>'ESCOLA GERMANO VALENTE'!B5</f>
        <v/>
      </c>
      <c r="B129" s="333">
        <f>HYPERLINK("#'ESCOLA GERMANO VALENTE'!A1",'ESCOLA GERMANO VALENTE'!B2)</f>
        <v/>
      </c>
      <c r="C129" s="333">
        <f>'ESCOLA GERMANO VALENTE'!B3</f>
        <v/>
      </c>
    </row>
    <row r="130" ht="15" customHeight="1" s="163">
      <c r="A130" s="332">
        <f>'ESCOLA DAS COMUNIDADES SANTO AN'!B5</f>
        <v/>
      </c>
      <c r="B130" s="333">
        <f>HYPERLINK("#'ESCOLA DAS COMUNIDADES SANTO AN'!A1",'ESCOLA DAS COMUNIDADES SANTO AN'!B2)</f>
        <v/>
      </c>
      <c r="C130" s="333">
        <f>'ESCOLA DAS COMUNIDADES SANTO AN'!B3</f>
        <v/>
      </c>
    </row>
    <row r="131" ht="15" customHeight="1" s="163">
      <c r="A131" s="332">
        <f>'ESCOLA DOMÉSTICA NOSSA SENHORA '!B5</f>
        <v/>
      </c>
      <c r="B131" s="333">
        <f>HYPERLINK("#'ESCOLA DOMÉSTICA NOSSA SENHORA '!A1",'ESCOLA DOMÉSTICA NOSSA SENHORA '!B2)</f>
        <v/>
      </c>
      <c r="C131" s="333">
        <f>'ESCOLA DOMÉSTICA NOSSA SENHORA '!B3</f>
        <v/>
      </c>
    </row>
    <row r="132" ht="15" customHeight="1" s="163">
      <c r="A132" s="332">
        <f>'ESCOLA PAROQUIAL NOSSA SENHO 3'!B5</f>
        <v/>
      </c>
      <c r="B132" s="333">
        <f>HYPERLINK("#'ESCOLA PAROQUIAL NOSSA SENHO 3'!A1",'ESCOLA PAROQUIAL NOSSA SENHO 3'!B2)</f>
        <v/>
      </c>
      <c r="C132" s="333">
        <f>'ESCOLA PAROQUIAL NOSSA SENHO 3'!B3</f>
        <v/>
      </c>
    </row>
    <row r="133" ht="15" customHeight="1" s="163">
      <c r="A133" s="332">
        <f>'ESCOLA MONSENHOR GENTIL'!B5</f>
        <v/>
      </c>
      <c r="B133" s="333">
        <f>HYPERLINK("#'ESCOLA MONSENHOR GENTIL'!A1",'ESCOLA MONSENHOR GENTIL'!B2)</f>
        <v/>
      </c>
      <c r="C133" s="333">
        <f>'ESCOLA MONSENHOR GENTIL'!B3</f>
        <v/>
      </c>
    </row>
    <row r="134" ht="15" customHeight="1" s="163">
      <c r="A134" s="332">
        <f>'ESCOLA PAROQUIAL BOM JESUS'!B5</f>
        <v/>
      </c>
      <c r="B134" s="333">
        <f>HYPERLINK("#'ESCOLA PAROQUIAL BOM JESUS'!A1",'ESCOLA PAROQUIAL BOM JESUS'!B2)</f>
        <v/>
      </c>
      <c r="C134" s="333">
        <f>'ESCOLA PAROQUIAL BOM JESUS'!B3</f>
        <v/>
      </c>
    </row>
    <row r="135" ht="15" customHeight="1" s="163">
      <c r="A135" s="332">
        <f>'ESCOLA PAROQUIAL CARLOS DEMIÁ'!B5</f>
        <v/>
      </c>
      <c r="B135" s="333">
        <f>HYPERLINK("#'ESCOLA PAROQUIAL CARLOS DEMIÁ'!A1",'ESCOLA PAROQUIAL CARLOS DEMIÁ'!B2)</f>
        <v/>
      </c>
      <c r="C135" s="333">
        <f>'ESCOLA PAROQUIAL CARLOS DEMIÁ'!B3</f>
        <v/>
      </c>
    </row>
    <row r="136" ht="15" customHeight="1" s="163">
      <c r="A136" s="332">
        <f>'ESCOLA PAROQUIAL NOSSA SENHO 2'!B5</f>
        <v/>
      </c>
      <c r="B136" s="333">
        <f>HYPERLINK("#'ESCOLA PAROQUIAL NOSSA SENHO 2'!A1",'ESCOLA PAROQUIAL NOSSA SENHO 2'!B2)</f>
        <v/>
      </c>
      <c r="C136" s="333">
        <f>'ESCOLA PAROQUIAL NOSSA SENHO 2'!B3</f>
        <v/>
      </c>
    </row>
    <row r="137" ht="15" customHeight="1" s="163">
      <c r="A137" s="332">
        <f>'ESCOLA PAROQUIAL NOSSA SENHORA '!B5</f>
        <v/>
      </c>
      <c r="B137" s="333">
        <f>HYPERLINK("#'ESCOLA PAROQUIAL NOSSA SENHORA '!A1",'ESCOLA PAROQUIAL NOSSA SENHORA '!B2)</f>
        <v/>
      </c>
      <c r="C137" s="333">
        <f>'ESCOLA PAROQUIAL NOSSA SENHORA '!B3</f>
        <v/>
      </c>
    </row>
    <row r="138" ht="15" customHeight="1" s="163">
      <c r="A138" s="332">
        <f>'ESCOLA PAROQUIAL SÃO PEDRO DE A'!B5</f>
        <v/>
      </c>
      <c r="B138" s="333">
        <f>HYPERLINK("#'ESCOLA PAROQUIAL SÃO PEDRO DE A'!A1",'ESCOLA PAROQUIAL SÃO PEDRO DE A'!B2)</f>
        <v/>
      </c>
      <c r="C138" s="333">
        <f>'ESCOLA PAROQUIAL SÃO PEDRO DE A'!B3</f>
        <v/>
      </c>
    </row>
    <row r="139" ht="15" customHeight="1" s="163">
      <c r="A139" s="332">
        <f>'ESCOLA SANTA MARIA GORETTI'!B5</f>
        <v/>
      </c>
      <c r="B139" s="333">
        <f>HYPERLINK("#'ESCOLA SANTA MARIA GORETTI'!A1",'ESCOLA SANTA MARIA GORETTI'!B2)</f>
        <v/>
      </c>
      <c r="C139" s="333">
        <f>'ESCOLA SANTA MARIA GORETTI'!B3</f>
        <v/>
      </c>
    </row>
    <row r="140" ht="15" customHeight="1" s="163">
      <c r="A140" s="332">
        <f>'ESCOLA SANTA RITA DE CASSIA'!B5</f>
        <v/>
      </c>
      <c r="B140" s="333">
        <f>HYPERLINK("#'ESCOLA SANTA RITA DE CASSIA'!A1",'ESCOLA SANTA RITA DE CASSIA'!B2)</f>
        <v/>
      </c>
      <c r="C140" s="333">
        <f>'ESCOLA SANTA RITA DE CASSIA'!B3</f>
        <v/>
      </c>
    </row>
    <row r="141" ht="15" customHeight="1" s="163">
      <c r="A141" s="332">
        <f>'ESCOLA SÃO CRISTÓVÃO'!B5</f>
        <v/>
      </c>
      <c r="B141" s="333">
        <f>HYPERLINK("#'ESCOLA SÃO CRISTÓVÃO'!A1",'ESCOLA SÃO CRISTÓVÃO'!B2)</f>
        <v/>
      </c>
      <c r="C141" s="333">
        <f>'ESCOLA SÃO CRISTÓVÃO'!B3</f>
        <v/>
      </c>
    </row>
    <row r="142" ht="15" customHeight="1" s="163">
      <c r="A142" s="332">
        <f>'ESCOLA PAROQUIAL SÃO FRANCISCO '!B5</f>
        <v/>
      </c>
      <c r="B142" s="333">
        <f>HYPERLINK("#'ESCOLA PAROQUIAL SÃO FRANCISCO '!A1",'ESCOLA PAROQUIAL SÃO FRANCISCO '!B2)</f>
        <v/>
      </c>
      <c r="C142" s="333">
        <f>'ESCOLA PAROQUIAL SÃO FRANCISCO '!B3</f>
        <v/>
      </c>
    </row>
    <row r="143" ht="15" customHeight="1" s="163">
      <c r="A143" s="332">
        <f>'ESCOLA SAO FRANCISCO DE ASSIS'!B5</f>
        <v/>
      </c>
      <c r="B143" s="333">
        <f>HYPERLINK("#'ESCOLA SAO FRANCISCO DE ASSIS'!A1",'ESCOLA SAO FRANCISCO DE ASSIS'!B2)</f>
        <v/>
      </c>
      <c r="C143" s="333">
        <f>'ESCOLA SAO FRANCISCO DE ASSIS'!B3</f>
        <v/>
      </c>
    </row>
    <row r="144" ht="15" customHeight="1" s="163">
      <c r="A144" s="332">
        <f>'ESCOLA SÃO JOÃO BATISTA'!B5</f>
        <v/>
      </c>
      <c r="B144" s="333">
        <f>HYPERLINK("#'ESCOLA SÃO JOÃO BATISTA'!A1",'ESCOLA SÃO JOÃO BATISTA'!B2)</f>
        <v/>
      </c>
      <c r="C144" s="333">
        <f>'ESCOLA SÃO JOÃO BATISTA'!B3</f>
        <v/>
      </c>
    </row>
    <row r="145" ht="15" customHeight="1" s="163">
      <c r="A145" s="332">
        <f>'ESCOLA SÃO JUDAS TADEU'!B5</f>
        <v/>
      </c>
      <c r="B145" s="333">
        <f>HYPERLINK("#'ESCOLA SÃO JUDAS TADEU'!A1",'ESCOLA SÃO JUDAS TADEU'!B2)</f>
        <v/>
      </c>
      <c r="C145" s="333">
        <f>'ESCOLA SÃO JUDAS TADEU'!B3</f>
        <v/>
      </c>
    </row>
    <row r="146" ht="15" customHeight="1" s="163">
      <c r="A146" s="332">
        <f>'ESCOLA PAROQUIAL SÃO PIO X'!B5</f>
        <v/>
      </c>
      <c r="B146" s="333">
        <f>HYPERLINK("#'ESCOLA PAROQUIAL SÃO PIO X'!A1",'ESCOLA PAROQUIAL SÃO PIO X'!B2)</f>
        <v/>
      </c>
      <c r="C146" s="333">
        <f>'ESCOLA PAROQUIAL SÃO PIO X'!B3</f>
        <v/>
      </c>
    </row>
    <row r="147" ht="15" customHeight="1" s="163">
      <c r="A147" s="332">
        <f>'COLÉGIO ANGLICANO DE ARARAS'!B5</f>
        <v/>
      </c>
      <c r="B147" s="333">
        <f>HYPERLINK("#'COLÉGIO ANGLICANO DE ARARAS'!A1",'COLÉGIO ANGLICANO DE ARARAS'!B2)</f>
        <v/>
      </c>
      <c r="C147" s="333">
        <f>'COLÉGIO ANGLICANO DE ARARAS'!B3</f>
        <v/>
      </c>
    </row>
    <row r="148" ht="15" customHeight="1" s="163">
      <c r="A148" s="332">
        <f>'COLEGIO VICENTINO PADRE CORRÊA'!B5</f>
        <v/>
      </c>
      <c r="B148" s="333">
        <f>HYPERLINK("#'COLEGIO VICENTINO PADRE CORRÊA'!A1",'COLEGIO VICENTINO PADRE CORRÊA'!B2)</f>
        <v/>
      </c>
      <c r="C148" s="333">
        <f>'COLEGIO VICENTINO PADRE CORRÊA'!B3</f>
        <v/>
      </c>
    </row>
    <row r="149" ht="15" customHeight="1" s="163">
      <c r="A149" s="332">
        <f>'ESCOLA NOSSA SENHORA DE FÁTIMA'!B5</f>
        <v/>
      </c>
      <c r="B149" s="333">
        <f>HYPERLINK("#'ESCOLA NOSSA SENHORA DE FÁTIMA'!A1",'ESCOLA NOSSA SENHORA DE FÁTIMA'!B2)</f>
        <v/>
      </c>
      <c r="C149" s="333">
        <f>'ESCOLA NOSSA SENHORA DE FÁTIMA'!B3</f>
        <v/>
      </c>
    </row>
    <row r="150" ht="15" customHeight="1" s="163">
      <c r="A150" s="332">
        <f>'ESCOLA PAROQUIAL DA ALCOBAÇA'!B5</f>
        <v/>
      </c>
      <c r="B150" s="333">
        <f>HYPERLINK("#'ESCOLA PAROQUIAL DA ALCOBAÇA'!A1",'ESCOLA PAROQUIAL DA ALCOBAÇA'!B2)</f>
        <v/>
      </c>
      <c r="C150" s="333">
        <f>'ESCOLA PAROQUIAL DA ALCOBAÇA'!B3</f>
        <v/>
      </c>
    </row>
    <row r="151" ht="15" customHeight="1" s="163">
      <c r="A151" s="332">
        <f>'ESCOLA PAROQUIAL DO LOTEAMENTO '!B5</f>
        <v/>
      </c>
      <c r="B151" s="333">
        <f>HYPERLINK("#'ESCOLA PAROQUIAL DO LOTEAMENTO '!A1",'ESCOLA PAROQUIAL DO LOTEAMENTO '!B2)</f>
        <v/>
      </c>
      <c r="C151" s="333">
        <f>'ESCOLA PAROQUIAL DO LOTEAMENTO '!B3</f>
        <v/>
      </c>
    </row>
    <row r="152" ht="15" customHeight="1" s="163">
      <c r="A152" s="332">
        <f>'ESCOLA PAROQUIAL SANTA BERNADET'!B5</f>
        <v/>
      </c>
      <c r="B152" s="333">
        <f>HYPERLINK("#'ESCOLA PAROQUIAL SANTA BERNADET'!A1",'ESCOLA PAROQUIAL SANTA BERNADET'!B2)</f>
        <v/>
      </c>
      <c r="C152" s="333">
        <f>'ESCOLA PAROQUIAL SANTA BERNADET'!B3</f>
        <v/>
      </c>
    </row>
    <row r="153" ht="15" customHeight="1" s="163">
      <c r="A153" s="332">
        <f>'ESCOLA SÃO GERALDO'!B5</f>
        <v/>
      </c>
      <c r="B153" s="333">
        <f>HYPERLINK("#'ESCOLA SÃO GERALDO'!A1",'ESCOLA SÃO GERALDO'!B2)</f>
        <v/>
      </c>
      <c r="C153" s="333">
        <f>'ESCOLA SÃO GERALDO'!B3</f>
        <v/>
      </c>
    </row>
    <row r="154" ht="15" customHeight="1" s="163">
      <c r="A154" s="332">
        <f>'ESCOLA SANTO ANTÔNIO'!B5</f>
        <v/>
      </c>
      <c r="B154" s="333">
        <f>HYPERLINK("#'ESCOLA SANTO ANTÔNIO'!A1",'ESCOLA SANTO ANTÔNIO'!B2)</f>
        <v/>
      </c>
      <c r="C154" s="333">
        <f>'ESCOLA SANTO ANTÔNIO'!B3</f>
        <v/>
      </c>
    </row>
    <row r="155" ht="15" customHeight="1" s="163">
      <c r="A155" s="332">
        <f>'LICEU SÃO JOSÉ DE ITAIPAVA'!B5</f>
        <v/>
      </c>
      <c r="B155" s="333">
        <f>HYPERLINK("#'LICEU SÃO JOSÉ DE ITAIPAVA'!A1",'LICEU SÃO JOSÉ DE ITAIPAVA'!B2)</f>
        <v/>
      </c>
      <c r="C155" s="333">
        <f>'LICEU SÃO JOSÉ DE ITAIPAVA'!B3</f>
        <v/>
      </c>
    </row>
    <row r="156" ht="15" customHeight="1" s="163">
      <c r="A156" s="332">
        <f>'ESCOLA SÃO JOSÉ DO CAETITU'!B5</f>
        <v/>
      </c>
      <c r="B156" s="333">
        <f>HYPERLINK("#'ESCOLA SÃO JOSÉ DO CAETITU'!A1",'ESCOLA SÃO JOSÉ DO CAETITU'!B2)</f>
        <v/>
      </c>
      <c r="C156" s="333">
        <f>'ESCOLA SÃO JOSÉ DO CAETITU'!B3</f>
        <v/>
      </c>
    </row>
    <row r="157" ht="15" customHeight="1" s="163">
      <c r="A157" s="332">
        <f>'CEI ASSOCIAÇÃO BENEFICENTE FAZE'!B5</f>
        <v/>
      </c>
      <c r="B157" s="333">
        <f>HYPERLINK("#'CEI ASSOCIAÇÃO BENEFICENTE FAZE'!A1",'CEI ASSOCIAÇÃO BENEFICENTE FAZE'!B2)</f>
        <v/>
      </c>
      <c r="C157" s="333">
        <f>'CEI ASSOCIAÇÃO BENEFICENTE FAZE'!B3</f>
        <v/>
      </c>
    </row>
    <row r="158" ht="15" customHeight="1" s="163">
      <c r="A158" s="332">
        <f>'CEI CASA DA SOLIDARIEDADE DE NO'!B5</f>
        <v/>
      </c>
      <c r="B158" s="333">
        <f>HYPERLINK("#'CEI CASA DA SOLIDARIEDADE DE NO'!A1",'CEI CASA DA SOLIDARIEDADE DE NO'!B2)</f>
        <v/>
      </c>
      <c r="C158" s="333">
        <f>'CEI CASA DA SOLIDARIEDADE DE NO'!B3</f>
        <v/>
      </c>
    </row>
    <row r="159" ht="15" customHeight="1" s="163">
      <c r="A159" s="332">
        <f>'CEI LULU MONTEIRO DE CASTRO'!B5</f>
        <v/>
      </c>
      <c r="B159" s="333">
        <f>HYPERLINK("#'CEI LULU MONTEIRO DE CASTRO'!A1",'CEI LULU MONTEIRO DE CASTRO'!B2)</f>
        <v/>
      </c>
      <c r="C159" s="333">
        <f>'CEI LULU MONTEIRO DE CASTRO'!B3</f>
        <v/>
      </c>
    </row>
    <row r="160" ht="15" customHeight="1" s="163">
      <c r="A160" s="332">
        <f>'CEI SÃO JOÃO BATISTA'!B5</f>
        <v/>
      </c>
      <c r="B160" s="333">
        <f>HYPERLINK("#'CEI SÃO JOÃO BATISTA'!A1",'CEI SÃO JOÃO BATISTA'!B2)</f>
        <v/>
      </c>
      <c r="C160" s="333">
        <f>'CEI SÃO JOÃO BATISTA'!B3</f>
        <v/>
      </c>
    </row>
    <row r="161" ht="15" customHeight="1" s="163">
      <c r="A161" s="332">
        <f>'CEI SÃO FRANCISCO ASSIS'!B5</f>
        <v/>
      </c>
      <c r="B161" s="333">
        <f>HYPERLINK("#'CEI SÃO FRANCISCO ASSIS'!A1",'CEI SÃO FRANCISCO ASSIS'!B2)</f>
        <v/>
      </c>
      <c r="C161" s="333">
        <f>'CEI SÃO FRANCISCO ASSIS'!B3</f>
        <v/>
      </c>
    </row>
    <row r="162" ht="15" customHeight="1" s="163">
      <c r="A162" s="332">
        <f>'CEI A SEMENTEIRA'!B5</f>
        <v/>
      </c>
      <c r="B162" s="333">
        <f>HYPERLINK("#'CEI A SEMENTEIRA'!A1",'CEI A SEMENTEIRA'!B2)</f>
        <v/>
      </c>
      <c r="C162" s="333">
        <f>'CEI A SEMENTEIRA'!B3</f>
        <v/>
      </c>
    </row>
    <row r="163" ht="15" customHeight="1" s="163">
      <c r="A163" s="332">
        <f>'CEI FREI LEÃO'!B5</f>
        <v/>
      </c>
      <c r="B163" s="333">
        <f>HYPERLINK("#'CEI FREI LEÃO'!A1",'CEI FREI LEÃO'!B2)</f>
        <v/>
      </c>
      <c r="C163" s="333">
        <f>'CEI FREI LEÃO'!B3</f>
        <v/>
      </c>
    </row>
    <row r="164" ht="15" customHeight="1" s="163">
      <c r="A164" s="332">
        <f>'CEI ROMANO CANAVESE'!B5</f>
        <v/>
      </c>
      <c r="B164" s="333">
        <f>HYPERLINK("#'CEI ROMANO CANAVESE'!A1",'CEI ROMANO CANAVESE'!B2)</f>
        <v/>
      </c>
      <c r="C164" s="333">
        <f>'CEI ROMANO CANAVESE'!B3</f>
        <v/>
      </c>
    </row>
    <row r="165" ht="15" customHeight="1" s="163">
      <c r="A165" s="332">
        <f>'CEI ANDRÉ VANZAN'!B5</f>
        <v/>
      </c>
      <c r="B165" s="333">
        <f>HYPERLINK("#'CEI ANDRÉ VANZAN'!A1",'CEI ANDRÉ VANZAN'!B2)</f>
        <v/>
      </c>
      <c r="C165" s="333">
        <f>'CEI ANDRÉ VANZAN'!B3</f>
        <v/>
      </c>
    </row>
    <row r="166" ht="15" customHeight="1" s="163">
      <c r="A166" s="332">
        <f>'CEI CRIANÇA SANTA EDWIGES'!B5</f>
        <v/>
      </c>
      <c r="B166" s="333">
        <f>HYPERLINK("#'CEI CRIANÇA SANTA EDWIGES'!A1",'CEI CRIANÇA SANTA EDWIGES'!B2)</f>
        <v/>
      </c>
      <c r="C166" s="333">
        <f>'CEI CRIANÇA SANTA EDWIGES'!B3</f>
        <v/>
      </c>
    </row>
    <row r="167" ht="15" customHeight="1" s="163">
      <c r="A167" s="332">
        <f>'CENTRO DE EDUCAÇÃO INFANTIL IRM'!B5</f>
        <v/>
      </c>
      <c r="B167" s="333">
        <f>HYPERLINK("#'CENTRO DE EDUCAÇÃO INFANTIL IRM'!A1",'CENTRO DE EDUCAÇÃO INFANTIL IRM'!B2)</f>
        <v/>
      </c>
      <c r="C167" s="333">
        <f>'CENTRO DE EDUCAÇÃO INFANTIL IRM'!B3</f>
        <v/>
      </c>
    </row>
    <row r="168" ht="15" customHeight="1" s="163">
      <c r="A168" s="332">
        <f>'CEI PEDRAS BRANCAS'!B5</f>
        <v/>
      </c>
      <c r="B168" s="333">
        <f>HYPERLINK("#'CEI PEDRAS BRANCAS'!A1",'CEI PEDRAS BRANCAS'!B2)</f>
        <v/>
      </c>
      <c r="C168" s="333">
        <f>'CEI PEDRAS BRANCAS'!B3</f>
        <v/>
      </c>
    </row>
    <row r="169" ht="15" customHeight="1" s="163">
      <c r="A169" s="332">
        <f>'CEI INÊS BELARMINO DE SOUZA'!B5</f>
        <v/>
      </c>
      <c r="B169" s="333">
        <f>HYPERLINK("#'CEI INÊS BELARMINO DE SOUZA'!A1",'CEI INÊS BELARMINO DE SOUZA'!B2)</f>
        <v/>
      </c>
      <c r="C169" s="333">
        <f>'CEI INÊS BELARMINO DE SOUZA'!B3</f>
        <v/>
      </c>
    </row>
    <row r="170" ht="15" customHeight="1" s="163">
      <c r="A170" s="332">
        <f>'CEI PROFª ROSANGELA DA SILVA LE'!B5</f>
        <v/>
      </c>
      <c r="B170" s="333">
        <f>HYPERLINK("#'CEI PROFª ROSANGELA DA SILVA LE'!A1",'CEI PROFª ROSANGELA DA SILVA LE'!B2)</f>
        <v/>
      </c>
      <c r="C170" s="333">
        <f>'CEI PROFª ROSANGELA DA SILVA LE'!B3</f>
        <v/>
      </c>
    </row>
    <row r="171" ht="15" customHeight="1" s="163">
      <c r="A171" s="332">
        <f>'CEI VILA SAO JOSE'!B5</f>
        <v/>
      </c>
      <c r="B171" s="333">
        <f>HYPERLINK("#'CEI VILA SAO JOSE'!A1",'CEI VILA SAO JOSE'!B2)</f>
        <v/>
      </c>
      <c r="C171" s="333">
        <f>'CEI VILA SAO JOSE'!B3</f>
        <v/>
      </c>
    </row>
    <row r="172" ht="15" customHeight="1" s="163">
      <c r="A172" s="332">
        <f>'CEI MARIA THEREZA KLING DO VALL'!B5</f>
        <v/>
      </c>
      <c r="B172" s="333">
        <f>HYPERLINK("#'CEI MARIA THEREZA KLING DO VALL'!A1",'CEI MARIA THEREZA KLING DO VALL'!B2)</f>
        <v/>
      </c>
      <c r="C172" s="333">
        <f>'CEI MARIA THEREZA KLING DO VALL'!B3</f>
        <v/>
      </c>
    </row>
    <row r="173" ht="15" customHeight="1" s="163">
      <c r="A173" s="332">
        <f>'CEI DEISE ELOY GOMES'!B5</f>
        <v/>
      </c>
      <c r="B173" s="333">
        <f>HYPERLINK("#'CEI DEISE ELOY GOMES'!A1",'CEI DEISE ELOY GOMES'!B2)</f>
        <v/>
      </c>
      <c r="C173" s="333">
        <f>'CEI DEISE ELOY GOMES'!B3</f>
        <v/>
      </c>
    </row>
    <row r="174" ht="15" customHeight="1" s="163">
      <c r="A174" s="332">
        <f>'CENTRO PAROQUIAL DE EDUCAÇÃO IN'!B5</f>
        <v/>
      </c>
      <c r="B174" s="333">
        <f>HYPERLINK("#'CENTRO PAROQUIAL DE EDUCAÇÃO IN'!A1",'CENTRO PAROQUIAL DE EDUCAÇÃO IN'!B2)</f>
        <v/>
      </c>
      <c r="C174" s="333">
        <f>'CENTRO PAROQUIAL DE EDUCAÇÃO IN'!B3</f>
        <v/>
      </c>
    </row>
    <row r="175" ht="15" customHeight="1" s="163">
      <c r="A175" s="332">
        <f>'CEI VISTA ALEGRE'!B5</f>
        <v/>
      </c>
      <c r="B175" s="333">
        <f>HYPERLINK("#'CEI VISTA ALEGRE'!A1",'CEI VISTA ALEGRE'!B2)</f>
        <v/>
      </c>
      <c r="C175" s="333">
        <f>'CEI VISTA ALEGRE'!B3</f>
        <v/>
      </c>
    </row>
    <row r="176" ht="15" customHeight="1" s="163">
      <c r="A176" s="332">
        <f>'CEI ALDEIA DA CRIANCA'!B5</f>
        <v/>
      </c>
      <c r="B176" s="333">
        <f>HYPERLINK("#'CEI ALDEIA DA CRIANCA'!A1",'CEI ALDEIA DA CRIANCA'!B2)</f>
        <v/>
      </c>
      <c r="C176" s="333">
        <f>'CEI ALDEIA DA CRIANCA'!B3</f>
        <v/>
      </c>
    </row>
    <row r="177" ht="15" customHeight="1" s="163">
      <c r="A177" s="332">
        <f>'CEI DÉA LÚCIA CORDEIRO'!B5</f>
        <v/>
      </c>
      <c r="B177" s="333">
        <f>HYPERLINK("#'CEI DÉA LÚCIA CORDEIRO'!A1",'CEI DÉA LÚCIA CORDEIRO'!B2)</f>
        <v/>
      </c>
      <c r="C177" s="333">
        <f>'CEI DÉA LÚCIA CORDEIRO'!B3</f>
        <v/>
      </c>
    </row>
    <row r="178" ht="15" customHeight="1" s="163">
      <c r="A178" s="332">
        <f>'CENTRO DE EDUCAÇÃO INFANTIL CAR'!B5</f>
        <v/>
      </c>
      <c r="B178" s="333">
        <f>HYPERLINK("#'CENTRO DE EDUCAÇÃO INFANTIL CAR'!A1",'CENTRO DE EDUCAÇÃO INFANTIL CAR'!B2)</f>
        <v/>
      </c>
      <c r="C178" s="333">
        <f>'CENTRO DE EDUCAÇÃO INFANTIL CAR'!B3</f>
        <v/>
      </c>
    </row>
    <row r="179" ht="15" customHeight="1" s="163">
      <c r="A179" s="332">
        <f>'CEI IRMÃ SILVANA'!B5</f>
        <v/>
      </c>
      <c r="B179" s="333">
        <f>HYPERLINK("#'CEI IRMÃ SILVANA'!A1",'CEI IRMÃ SILVANA'!B2)</f>
        <v/>
      </c>
      <c r="C179" s="333">
        <f>'CEI IRMÃ SILVANA'!B3</f>
        <v/>
      </c>
    </row>
    <row r="180" ht="15" customHeight="1" s="163">
      <c r="A180" s="332">
        <f>'CEI MARLI SOARES FERREIRA NETTO'!B5</f>
        <v/>
      </c>
      <c r="B180" s="333">
        <f>HYPERLINK("#'CEI MARLI SOARES FERREIRA NETTO'!A1",'CEI MARLI SOARES FERREIRA NETTO'!B2)</f>
        <v/>
      </c>
      <c r="C180" s="333">
        <f>'CEI MARLI SOARES FERREIRA NETTO'!B3</f>
        <v/>
      </c>
    </row>
    <row r="181" ht="15" customHeight="1" s="163">
      <c r="A181" s="332">
        <f>'CEI PROFª SONIA REGINA SCUDESE '!B5</f>
        <v/>
      </c>
      <c r="B181" s="333">
        <f>HYPERLINK("#'CEI PROFª SONIA REGINA SCUDESE '!A1",'CEI PROFª SONIA REGINA SCUDESE '!B2)</f>
        <v/>
      </c>
      <c r="C181" s="333">
        <f>'CEI PROFª SONIA REGINA SCUDESE '!B3</f>
        <v/>
      </c>
    </row>
    <row r="182" ht="15" customHeight="1" s="163">
      <c r="A182" s="332">
        <f>'CEI DONA ESPERANZA DE BOURBON D'!B5</f>
        <v/>
      </c>
      <c r="B182" s="333">
        <f>HYPERLINK("#'CEI DONA ESPERANZA DE BOURBON D'!A1",'CEI DONA ESPERANZA DE BOURBON D'!B2)</f>
        <v/>
      </c>
      <c r="C182" s="333">
        <f>'CEI DONA ESPERANZA DE BOURBON D'!B3</f>
        <v/>
      </c>
    </row>
    <row r="183" ht="15" customHeight="1" s="163">
      <c r="A183" s="332">
        <f>'CEI PREFEITO SÉRGIO FADEL'!B5</f>
        <v/>
      </c>
      <c r="B183" s="333">
        <f>HYPERLINK("#'CEI PREFEITO SÉRGIO FADEL'!A1",'CEI PREFEITO SÉRGIO FADEL'!B2)</f>
        <v/>
      </c>
      <c r="C183" s="333">
        <f>'CEI PREFEITO SÉRGIO FADEL'!B3</f>
        <v/>
      </c>
    </row>
    <row r="184" ht="15" customHeight="1" s="163">
      <c r="A184" s="332">
        <f>'CEI ANDRÉ REBOUÇAS'!B5</f>
        <v/>
      </c>
      <c r="B184" s="333">
        <f>HYPERLINK("#'CEI ANDRÉ REBOUÇAS'!A1",'CEI ANDRÉ REBOUÇAS'!B2)</f>
        <v/>
      </c>
      <c r="C184" s="333">
        <f>'CEI ANDRÉ REBOUÇAS'!B3</f>
        <v/>
      </c>
    </row>
    <row r="185" ht="15" customHeight="1" s="163">
      <c r="A185" s="332">
        <f>'CENTRO DE EDUCAÇÃO INFANTIL CHI'!B5</f>
        <v/>
      </c>
      <c r="B185" s="333">
        <f>HYPERLINK("#'CENTRO DE EDUCAÇÃO INFANTIL CHI'!A1",'CENTRO DE EDUCAÇÃO INFANTIL CHI'!B2)</f>
        <v/>
      </c>
      <c r="C185" s="333">
        <f>'CENTRO DE EDUCAÇÃO INFANTIL CHI'!B3</f>
        <v/>
      </c>
    </row>
    <row r="186" ht="15" customHeight="1" s="163">
      <c r="A186" s="332">
        <f>'CEI TIA ALICE'!B5</f>
        <v/>
      </c>
      <c r="B186" s="333">
        <f>HYPERLINK("#'CEI TIA ALICE'!A1",'CEI TIA ALICE'!B2)</f>
        <v/>
      </c>
      <c r="C186" s="333">
        <f>'CEI TIA ALICE'!B3</f>
        <v/>
      </c>
    </row>
    <row r="187" ht="15" customHeight="1" s="163">
      <c r="A187" s="332">
        <f>'CEI TERRA SANTA'!B5</f>
        <v/>
      </c>
      <c r="B187" s="333">
        <f>HYPERLINK("#'CEI TERRA SANTA'!A1",'CEI TERRA SANTA'!B2)</f>
        <v/>
      </c>
      <c r="C187" s="333">
        <f>'CEI TERRA SANTA'!B3</f>
        <v/>
      </c>
    </row>
    <row r="188" ht="15" customHeight="1" s="163">
      <c r="A188" s="332">
        <f>'CEI JORGE ROLANDO DA SILVA'!B5</f>
        <v/>
      </c>
      <c r="B188" s="333">
        <f>HYPERLINK("#'CEI JORGE ROLANDO DA SILVA'!A1",'CEI JORGE ROLANDO DA SILVA'!B2)</f>
        <v/>
      </c>
      <c r="C188" s="333">
        <f>'CEI JORGE ROLANDO DA SILVA'!B3</f>
        <v/>
      </c>
    </row>
    <row r="189" ht="15" customHeight="1" s="163">
      <c r="A189" s="332">
        <f>'CEI CARANGOLA'!B5</f>
        <v/>
      </c>
      <c r="B189" s="333">
        <f>HYPERLINK("#'CEI CARANGOLA'!A1",'CEI CARANGOLA'!B2)</f>
        <v/>
      </c>
      <c r="C189" s="333">
        <f>'CEI CARANGOLA'!B3</f>
        <v/>
      </c>
    </row>
    <row r="190" ht="15" customHeight="1" s="163">
      <c r="A190" s="332">
        <f>'CEI CÉLIA LÔBO PAULO'!B5</f>
        <v/>
      </c>
      <c r="B190" s="333">
        <f>HYPERLINK("#'CEI CÉLIA LÔBO PAULO'!A1",'CEI CÉLIA LÔBO PAULO'!B2)</f>
        <v/>
      </c>
      <c r="C190" s="333">
        <f>'CEI CÉLIA LÔBO PAULO'!B3</f>
        <v/>
      </c>
    </row>
    <row r="191" ht="15" customHeight="1" s="163">
      <c r="A191" s="332">
        <f>'CEI LIONS CLUBE DE PETRÓPOLIS'!B5</f>
        <v/>
      </c>
      <c r="B191" s="333">
        <f>HYPERLINK("#'CEI LIONS CLUBE DE PETRÓPOLIS'!A1",'CEI LIONS CLUBE DE PETRÓPOLIS'!B2)</f>
        <v/>
      </c>
      <c r="C191" s="333">
        <f>'CEI LIONS CLUBE DE PETRÓPOLIS'!B3</f>
        <v/>
      </c>
    </row>
    <row r="192" ht="15" customHeight="1" s="163">
      <c r="A192" s="332">
        <f>'CEI PROFª GRAÇA COSTA'!B5</f>
        <v/>
      </c>
      <c r="B192" s="333">
        <f>HYPERLINK("#'CEI PROFª GRAÇA COSTA'!A1",'CEI PROFª GRAÇA COSTA'!B2)</f>
        <v/>
      </c>
      <c r="C192" s="333">
        <f>'CEI PROFª GRAÇA COSTA'!B3</f>
        <v/>
      </c>
    </row>
    <row r="193" ht="15" customHeight="1" s="163">
      <c r="A193" s="332">
        <f>'CEI ANGELA MARIA DA CONCEIÇÃO S'!B5</f>
        <v/>
      </c>
      <c r="B193" s="333">
        <f>HYPERLINK("#'CEI ANGELA MARIA DA CONCEIÇÃO S'!A1",'CEI ANGELA MARIA DA CONCEIÇÃO S'!B2)</f>
        <v/>
      </c>
      <c r="C193" s="333">
        <f>'CEI ANGELA MARIA DA CONCEIÇÃO S'!B3</f>
        <v/>
      </c>
    </row>
    <row r="194" ht="15" customHeight="1" s="163">
      <c r="A194" s="332">
        <f>'CEI LUIZ MARCHIORI'!B5</f>
        <v/>
      </c>
      <c r="B194" s="333">
        <f>HYPERLINK("#'CEI LUIZ MARCHIORI'!A1",'CEI LUIZ MARCHIORI'!B2)</f>
        <v/>
      </c>
      <c r="C194" s="333">
        <f>'CEI LUIZ MARCHIORI'!B3</f>
        <v/>
      </c>
    </row>
    <row r="195" ht="15" customHeight="1" s="163">
      <c r="A195" s="332">
        <f>'CEI PROFª MARLUCE DE SOUZA PEST'!B5</f>
        <v/>
      </c>
      <c r="B195" s="333">
        <f>HYPERLINK("#'CEI PROFª MARLUCE DE SOUZA PEST'!A1",'CEI PROFª MARLUCE DE SOUZA PEST'!B2)</f>
        <v/>
      </c>
      <c r="C195" s="333">
        <f>'CEI PROFª MARLUCE DE SOUZA PEST'!B3</f>
        <v/>
      </c>
    </row>
    <row r="196" ht="15" customHeight="1" s="163">
      <c r="A196" s="332">
        <f>'CEI OLÍVIA MACHADO DA COSTA NOG'!B5</f>
        <v/>
      </c>
      <c r="B196" s="333">
        <f>HYPERLINK("#'CEI OLÍVIA MACHADO DA COSTA NOG'!A1",'CEI OLÍVIA MACHADO DA COSTA NOG'!B2)</f>
        <v/>
      </c>
      <c r="C196" s="333">
        <f>'CEI OLÍVIA MACHADO DA COSTA NOG'!B3</f>
        <v/>
      </c>
    </row>
    <row r="197" ht="15" customHeight="1" s="163">
      <c r="A197" s="332">
        <f>'CEI VILA IPANEMA'!B5</f>
        <v/>
      </c>
      <c r="B197" s="333">
        <f>HYPERLINK("#'CEI VILA IPANEMA'!A1",'CEI VILA IPANEMA'!B2)</f>
        <v/>
      </c>
      <c r="C197" s="333">
        <f>'CEI VILA IPANEMA'!B3</f>
        <v/>
      </c>
    </row>
    <row r="198" ht="15" customHeight="1" s="163">
      <c r="A198" s="332">
        <f>'CEI VILA LEOPOLDINA'!B5</f>
        <v/>
      </c>
      <c r="B198" s="333">
        <f>HYPERLINK("#'CEI VILA LEOPOLDINA'!A1",'CEI VILA LEOPOLDINA'!B2)</f>
        <v/>
      </c>
      <c r="C198" s="333">
        <f>'CEI VILA LEOPOLDINA'!B3</f>
        <v/>
      </c>
    </row>
    <row r="199" ht="15" customHeight="1" s="163">
      <c r="A199" s="332">
        <f>'CENTRO DE EDUCAÇÃO INFANTIL CAS'!B5</f>
        <v/>
      </c>
      <c r="B199" s="333">
        <f>HYPERLINK("#'CENTRO DE EDUCAÇÃO INFANTIL CAS'!A1",'CENTRO DE EDUCAÇÃO INFANTIL CAS'!B2)</f>
        <v/>
      </c>
      <c r="C199" s="333">
        <f>'CENTRO DE EDUCAÇÃO INFANTIL CAS'!B3</f>
        <v/>
      </c>
    </row>
    <row r="200" ht="15" customHeight="1" s="163">
      <c r="A200" s="332">
        <f>'CEI PRIMEIRA INFÂNCIA'!B5</f>
        <v/>
      </c>
      <c r="B200" s="333">
        <f>HYPERLINK("#'CEI PRIMEIRA INFÂNCIA'!A1",'CEI PRIMEIRA INFÂNCIA'!B2)</f>
        <v/>
      </c>
      <c r="C200" s="333">
        <f>'CEI PRIMEIRA INFÂNCIA'!B3</f>
        <v/>
      </c>
    </row>
    <row r="201" ht="15" customHeight="1" s="163">
      <c r="A201" s="332">
        <f>'CEI PROFª DORA KILLER'!B5</f>
        <v/>
      </c>
      <c r="B201" s="333">
        <f>HYPERLINK("#'CEI PROFª DORA KILLER'!A1",'CEI PROFª DORA KILLER'!B2)</f>
        <v/>
      </c>
      <c r="C201" s="333">
        <f>'CEI PROFª DORA KILLER'!B3</f>
        <v/>
      </c>
    </row>
    <row r="202" ht="15" customHeight="1" s="163">
      <c r="A202" s="332">
        <f>'CEI PROFª PATRÍCIA FERREIRA E S'!B5</f>
        <v/>
      </c>
      <c r="B202" s="333">
        <f>HYPERLINK("#'CEI PROFª PATRÍCIA FERREIRA E S'!A1",'CEI PROFª PATRÍCIA FERREIRA E S'!B2)</f>
        <v/>
      </c>
      <c r="C202" s="333">
        <f>'CEI PROFª PATRÍCIA FERREIRA E S'!B3</f>
        <v/>
      </c>
    </row>
    <row r="203" ht="15" customHeight="1" s="163">
      <c r="A203" s="332">
        <f>'CEI DRA ZILDA ARNS NEUMANN'!B5</f>
        <v/>
      </c>
      <c r="B203" s="333">
        <f>HYPERLINK("#'CEI DRA ZILDA ARNS NEUMANN'!A1",'CEI DRA ZILDA ARNS NEUMANN'!B2)</f>
        <v/>
      </c>
      <c r="C203" s="333">
        <f>'CEI DRA ZILDA ARNS NEUMANN'!B3</f>
        <v/>
      </c>
    </row>
    <row r="204" ht="15" customHeight="1" s="163">
      <c r="A204" s="332">
        <f>'CEI DENISE BESSA DE OLIVA MAYA'!B5</f>
        <v/>
      </c>
      <c r="B204" s="333">
        <f>HYPERLINK("#'CEI DENISE BESSA DE OLIVA MAYA'!A1",'CEI DENISE BESSA DE OLIVA MAYA'!B2)</f>
        <v/>
      </c>
      <c r="C204" s="333">
        <f>'CEI DENISE BESSA DE OLIVA MAYA'!B3</f>
        <v/>
      </c>
    </row>
    <row r="205" ht="15" customHeight="1" s="163">
      <c r="A205" s="332">
        <f>'CEI GIUSEPPE-NEVA VOLONTERIO'!B5</f>
        <v/>
      </c>
      <c r="B205" s="333">
        <f>HYPERLINK("#'CEI GIUSEPPE-NEVA VOLONTERIO'!A1",'CEI GIUSEPPE-NEVA VOLONTERIO'!B2)</f>
        <v/>
      </c>
      <c r="C205" s="333">
        <f>'CEI GIUSEPPE-NEVA VOLONTERIO'!B3</f>
        <v/>
      </c>
    </row>
    <row r="206" ht="15" customHeight="1" s="163">
      <c r="A206" s="332">
        <f>'CENTRO DE EDUCAÇÃO INFANTIL LOT'!B5</f>
        <v/>
      </c>
      <c r="B206" s="333">
        <f>HYPERLINK("#'CENTRO DE EDUCAÇÃO INFANTIL LOT'!A1",'CENTRO DE EDUCAÇÃO INFANTIL LOT'!B2)</f>
        <v/>
      </c>
      <c r="C206" s="333">
        <f>'CENTRO DE EDUCAÇÃO INFANTIL LOT'!B3</f>
        <v/>
      </c>
    </row>
    <row r="207" ht="15" customHeight="1" s="163">
      <c r="A207" s="332">
        <f>'CEI IRINEU MARINHO'!B5</f>
        <v/>
      </c>
      <c r="B207" s="333">
        <f>HYPERLINK("#'CEI IRINEU MARINHO'!A1",'CEI IRINEU MARINHO'!B2)</f>
        <v/>
      </c>
      <c r="C207" s="333">
        <f>'CEI IRINEU MARINHO'!B3</f>
        <v/>
      </c>
    </row>
    <row r="208" ht="15" customHeight="1" s="163">
      <c r="A208" s="332">
        <f>'CEI OSWALDO CRUZ'!B5</f>
        <v/>
      </c>
      <c r="B208" s="333">
        <f>HYPERLINK("#'CEI OSWALDO CRUZ'!A1",'CEI OSWALDO CRUZ'!B2)</f>
        <v/>
      </c>
      <c r="C208" s="333">
        <f>'CEI OSWALDO CRUZ'!B3</f>
        <v/>
      </c>
    </row>
    <row r="209" ht="15" customHeight="1" s="163">
      <c r="A209" s="332">
        <f>'CEI ANA CAROLINA TELLES'!B5</f>
        <v/>
      </c>
      <c r="B209" s="333">
        <f>HYPERLINK("#'CEI ANA CAROLINA TELLES'!A1",'CEI ANA CAROLINA TELLES'!B2)</f>
        <v/>
      </c>
      <c r="C209" s="333">
        <f>'CEI ANA CAROLINA TELLES'!B3</f>
        <v/>
      </c>
    </row>
    <row r="210" ht="15" customHeight="1" s="163">
      <c r="A210" s="332">
        <f>'CEI JOSÉ GONÇALVES DA MOTTA'!B5</f>
        <v/>
      </c>
      <c r="B210" s="333">
        <f>HYPERLINK("#'CEI JOSÉ GONÇALVES DA MOTTA'!A1",'CEI JOSÉ GONÇALVES DA MOTTA'!B2)</f>
        <v/>
      </c>
      <c r="C210" s="333">
        <f>'CEI JOSÉ GONÇALVES DA MOTTA'!B3</f>
        <v/>
      </c>
    </row>
    <row r="211" ht="15" customHeight="1" s="163">
      <c r="A211" s="332">
        <f>'CEI SAGRADA FAMÍLIA'!B5</f>
        <v/>
      </c>
      <c r="B211" s="333">
        <f>HYPERLINK("#'CEI SAGRADA FAMÍLIA'!A1",'CEI SAGRADA FAMÍLIA'!B2)</f>
        <v/>
      </c>
      <c r="C211" s="333">
        <f>'CEI SAGRADA FAMÍLIA'!B3</f>
        <v/>
      </c>
    </row>
    <row r="212" ht="15" customHeight="1" s="163">
      <c r="A212" s="332">
        <f>'CEI PROFª HERMÍNIA MATHEUS'!B5</f>
        <v/>
      </c>
      <c r="B212" s="333">
        <f>HYPERLINK("#'CEI PROFª HERMÍNIA MATHEUS'!A1",'CEI PROFª HERMÍNIA MATHEUS'!B2)</f>
        <v/>
      </c>
      <c r="C212" s="333">
        <f>'CEI PROFª HERMÍNIA MATHEUS'!B3</f>
        <v/>
      </c>
    </row>
    <row r="213" ht="15" customHeight="1" s="163">
      <c r="A213" s="332">
        <f>'CENTRO DE EDUCAÇÃO INFANTIL PRO'!B5</f>
        <v/>
      </c>
      <c r="B213" s="333">
        <f>HYPERLINK("#'CENTRO DE EDUCAÇÃO INFANTIL PRO'!A1",'CENTRO DE EDUCAÇÃO INFANTIL PRO'!B2)</f>
        <v/>
      </c>
      <c r="C213" s="333">
        <f>'CENTRO DE EDUCAÇÃO INFANTIL PRO'!B3</f>
        <v/>
      </c>
    </row>
    <row r="214" ht="15" customHeight="1" s="163">
      <c r="A214" s="332">
        <f>'CEI MONSENHOR PAULO ELIAS DAHER'!B5</f>
        <v/>
      </c>
      <c r="B214" s="333">
        <f>HYPERLINK("#'CEI MONSENHOR PAULO ELIAS DAHER'!A1",'CEI MONSENHOR PAULO ELIAS DAHER'!B2)</f>
        <v/>
      </c>
      <c r="C214" s="333">
        <f>'CEI MONSENHOR PAULO ELIAS DAHER'!B3</f>
        <v/>
      </c>
    </row>
    <row r="215" ht="15" customHeight="1" s="163">
      <c r="A215" s="332">
        <f>'CEI DAGMAR ROLANDO DE OLIVEIRA'!B5</f>
        <v/>
      </c>
      <c r="B215" s="333">
        <f>HYPERLINK("#'CEI DAGMAR ROLANDO DE OLIVEIRA'!A1",'CEI DAGMAR ROLANDO DE OLIVEIRA'!B2)</f>
        <v/>
      </c>
      <c r="C215" s="333">
        <f>'CEI DAGMAR ROLANDO DE OLIVEIRA'!B3</f>
        <v/>
      </c>
    </row>
    <row r="216" ht="15" customHeight="1" s="163">
      <c r="A216" s="332">
        <f>'CENTRO DE EDUCAÇÃO INFANTIL  2'!B5</f>
        <v/>
      </c>
      <c r="B216" s="333">
        <f>HYPERLINK("#'CENTRO DE EDUCAÇÃO INFANTIL  2'!A1",'CENTRO DE EDUCAÇÃO INFANTIL  2'!B2)</f>
        <v/>
      </c>
      <c r="C216" s="333">
        <f>'CENTRO DE EDUCAÇÃO INFANTIL  2'!B3</f>
        <v/>
      </c>
    </row>
    <row r="217" ht="15" customHeight="1" s="163">
      <c r="A217" s="332">
        <f>'CEI BOA VISTA'!B5</f>
        <v/>
      </c>
      <c r="B217" s="333">
        <f>HYPERLINK("#'CEI BOA VISTA'!A1",'CEI BOA VISTA'!B2)</f>
        <v/>
      </c>
      <c r="C217" s="333">
        <f>'CEI BOA VISTA'!B3</f>
        <v/>
      </c>
    </row>
    <row r="218" ht="15" customHeight="1" s="163">
      <c r="A218" s="332">
        <f>'CEI NILO PEÇANHA'!B5</f>
        <v/>
      </c>
      <c r="B218" s="333">
        <f>HYPERLINK("#'CEI NILO PEÇANHA'!A1",'CEI NILO PEÇANHA'!B2)</f>
        <v/>
      </c>
      <c r="C218" s="333">
        <f>'CEI NILO PEÇANHA'!B3</f>
        <v/>
      </c>
    </row>
    <row r="219" ht="15" customHeight="1" s="163">
      <c r="A219" s="332">
        <f>'CENTRO DE EDUCAÇÃO INFANTIL AUG'!B5</f>
        <v/>
      </c>
      <c r="B219" s="333">
        <f>HYPERLINK("#'CENTRO DE EDUCAÇÃO INFANTIL AUG'!A1",'CENTRO DE EDUCAÇÃO INFANTIL AUG'!B2)</f>
        <v/>
      </c>
      <c r="C219" s="333">
        <f>'CENTRO DE EDUCAÇÃO INFANTIL AUG'!B3</f>
        <v/>
      </c>
    </row>
    <row r="220" ht="15" customHeight="1" s="163">
      <c r="A220" s="332">
        <f>'CEI THEREZINHA DE JESUS LIMA'!B5</f>
        <v/>
      </c>
      <c r="B220" s="333">
        <f>HYPERLINK("#'CEI THEREZINHA DE JESUS LIMA'!A1",'CEI THEREZINHA DE JESUS LIMA'!B2)</f>
        <v/>
      </c>
      <c r="C220" s="333">
        <f>'CEI THEREZINHA DE JESUS LIMA'!B3</f>
        <v/>
      </c>
    </row>
    <row r="221" ht="15" customHeight="1" s="163">
      <c r="A221" s="332">
        <f>'CEI VIDEIRINHA'!B5</f>
        <v/>
      </c>
      <c r="B221" s="333">
        <f>HYPERLINK("#'CEI VIDEIRINHA'!A1",'CEI VIDEIRINHA'!B2)</f>
        <v/>
      </c>
      <c r="C221" s="333">
        <f>'CEI VIDEIRINHA'!B3</f>
        <v/>
      </c>
    </row>
    <row r="222" ht="15" customHeight="1" s="163">
      <c r="A222" s="332">
        <f>'CEI PROFª ADRIANA CONSTÂNCIO TR'!B5</f>
        <v/>
      </c>
      <c r="B222" s="333">
        <f>HYPERLINK("#'CEI PROFª ADRIANA CONSTÂNCIO TR'!A1",'CEI PROFª ADRIANA CONSTÂNCIO TR'!B2)</f>
        <v/>
      </c>
      <c r="C222" s="333">
        <f>'CEI PROFª ADRIANA CONSTÂNCIO TR'!B3</f>
        <v/>
      </c>
    </row>
    <row r="223" ht="15" customHeight="1" s="163">
      <c r="A223" s="332">
        <f>'CENTRO DE EDUCAÇÃO INFANTIL SÉR'!B5</f>
        <v/>
      </c>
      <c r="B223" s="333">
        <f>HYPERLINK("#'CENTRO DE EDUCAÇÃO INFANTIL SÉR'!A1",'CENTRO DE EDUCAÇÃO INFANTIL SÉR'!B2)</f>
        <v/>
      </c>
      <c r="C223" s="333">
        <f>'CENTRO DE EDUCAÇÃO INFANTIL SÉR'!B3</f>
        <v/>
      </c>
    </row>
    <row r="224" ht="15" customHeight="1" s="163">
      <c r="A224" s="332">
        <f>'CEI JURACI PINTO DO AMARAL DE C'!B5</f>
        <v/>
      </c>
      <c r="B224" s="333">
        <f>HYPERLINK("#'CEI JURACI PINTO DO AMARAL DE C'!A1",'CEI JURACI PINTO DO AMARAL DE C'!B2)</f>
        <v/>
      </c>
      <c r="C224" s="333">
        <f>'CEI JURACI PINTO DO AMARAL DE C'!B3</f>
        <v/>
      </c>
    </row>
    <row r="225" ht="15" customHeight="1" s="163">
      <c r="A225" s="332">
        <f>'CEI NOSSA SENHORA DA GLÓRIA'!B5</f>
        <v/>
      </c>
      <c r="B225" s="333">
        <f>HYPERLINK("#'CEI NOSSA SENHORA DA GLÓRIA'!A1",'CEI NOSSA SENHORA DA GLÓRIA'!B2)</f>
        <v/>
      </c>
      <c r="C225" s="333">
        <f>'CEI NOSSA SENHORA DA GLÓRIA'!B3</f>
        <v/>
      </c>
    </row>
    <row r="226" ht="15" customHeight="1" s="163">
      <c r="A226" s="332">
        <f>'CEI ALTO INDEPENDÊNCIA'!B5</f>
        <v/>
      </c>
      <c r="B226" s="333">
        <f>HYPERLINK("#'CEI ALTO INDEPENDÊNCIA'!A1",'CEI ALTO INDEPENDÊNCIA'!B2)</f>
        <v/>
      </c>
      <c r="C226" s="333">
        <f>'CEI ALTO INDEPENDÊNCIA'!B3</f>
        <v/>
      </c>
    </row>
    <row r="227" ht="15" customHeight="1" s="163">
      <c r="A227" s="332">
        <f>'CEI SÃO JOSÉ DAS OBLATAS DE NAZ'!B5</f>
        <v/>
      </c>
      <c r="B227" s="333">
        <f>HYPERLINK("#'CEI SÃO JOSÉ DAS OBLATAS DE NAZ'!A1",'CEI SÃO JOSÉ DAS OBLATAS DE NAZ'!B2)</f>
        <v/>
      </c>
      <c r="C227" s="333">
        <f>'CEI SÃO JOSÉ DAS OBLATAS DE NAZ'!B3</f>
        <v/>
      </c>
    </row>
    <row r="228" ht="15" customHeight="1" s="163">
      <c r="A228" s="332">
        <f>'CEI SANTO ANTÔNIO AGOSTINHO'!B5</f>
        <v/>
      </c>
      <c r="B228" s="333">
        <f>HYPERLINK("#'CEI SANTO ANTÔNIO AGOSTINHO'!A1",'CEI SANTO ANTÔNIO AGOSTINHO'!B2)</f>
        <v/>
      </c>
      <c r="C228" s="333">
        <f>'CEI SANTO ANTÔNIO AGOSTINHO'!B3</f>
        <v/>
      </c>
    </row>
    <row r="229" ht="15" customHeight="1" s="163">
      <c r="A229" s="332">
        <f>'CEI SÃO CHARBEL'!B5</f>
        <v/>
      </c>
      <c r="B229" s="333">
        <f>HYPERLINK("#'CEI SÃO CHARBEL'!A1",'CEI SÃO CHARBEL'!B2)</f>
        <v/>
      </c>
      <c r="C229" s="333">
        <f>'CEI SÃO CHARBEL'!B3</f>
        <v/>
      </c>
    </row>
    <row r="230" ht="15" customHeight="1" s="163">
      <c r="A230" s="332">
        <f>'ASSOCIAÇÃO DA CRECHE SÃO FRANCI'!B5</f>
        <v/>
      </c>
      <c r="B230" s="333">
        <f>HYPERLINK("#'ASSOCIAÇÃO DA CRECHE SÃO FRANCI'!A1",'ASSOCIAÇÃO DA CRECHE SÃO FRANCI'!B2)</f>
        <v/>
      </c>
      <c r="C230" s="333">
        <f>'ASSOCIAÇÃO DA CRECHE SÃO FRANCI'!B3</f>
        <v/>
      </c>
    </row>
    <row r="231" ht="15" customHeight="1" s="163">
      <c r="A231" s="332">
        <f>'CEI SÃO JOSÉ DO ITAMARATI'!B5</f>
        <v/>
      </c>
      <c r="B231" s="333">
        <f>HYPERLINK("#'CEI SÃO JOSÉ DO ITAMARATI'!A1",'CEI SÃO JOSÉ DO ITAMARATI'!B2)</f>
        <v/>
      </c>
      <c r="C231" s="333">
        <f>'CEI SÃO JOSÉ DO ITAMARATI'!B3</f>
        <v/>
      </c>
    </row>
    <row r="232" ht="15" customHeight="1" s="163">
      <c r="A232" s="332">
        <f>'ASSOCIAÇÃO RECREAR'!B5</f>
        <v/>
      </c>
      <c r="B232" s="333">
        <f>HYPERLINK("#'ASSOCIAÇÃO RECREAR'!A1",'ASSOCIAÇÃO RECREAR'!B2)</f>
        <v/>
      </c>
      <c r="C232" s="333">
        <f>'ASSOCIAÇÃO RECREAR'!B3</f>
        <v/>
      </c>
    </row>
    <row r="233" ht="15" customHeight="1" s="163">
      <c r="A233" s="332">
        <f>'CRECHE-ESCOLA CASTELO SÃO MANOE'!B5</f>
        <v/>
      </c>
      <c r="B233" s="333">
        <f>HYPERLINK("#'CRECHE-ESCOLA CASTELO SÃO MANOE'!A1",'CRECHE-ESCOLA CASTELO SÃO MANOE'!B2)</f>
        <v/>
      </c>
      <c r="C233" s="333">
        <f>'CRECHE-ESCOLA CASTELO SÃO MANOE'!B3</f>
        <v/>
      </c>
    </row>
    <row r="234" ht="15" customHeight="1" s="163">
      <c r="A234" s="332">
        <f>'CENTRO DE EDUCAÇÃO INFANTIL SÃO'!B5</f>
        <v/>
      </c>
      <c r="B234" s="333">
        <f>HYPERLINK("#'CENTRO DE EDUCAÇÃO INFANTIL SÃO'!A1",'CENTRO DE EDUCAÇÃO INFANTIL SÃO'!B2)</f>
        <v/>
      </c>
      <c r="C234" s="333">
        <f>'CENTRO DE EDUCAÇÃO INFANTIL SÃO'!B3</f>
        <v/>
      </c>
    </row>
    <row r="235" ht="15" customHeight="1" s="163">
      <c r="A235" s="181" t="n"/>
      <c r="B235" s="176" t="n"/>
      <c r="C235" s="338" t="n"/>
    </row>
    <row r="236" ht="15" customHeight="1" s="163">
      <c r="A236" s="182" t="inlineStr">
        <is>
          <t>PRODUTORES</t>
        </is>
      </c>
      <c r="B236" s="176" t="n"/>
      <c r="C236" s="176" t="n"/>
    </row>
    <row r="237" ht="15" customHeight="1" s="163">
      <c r="A237" s="339" t="inlineStr">
        <is>
          <t>PRODUTOR (clique para abrir)</t>
        </is>
      </c>
      <c r="B237" s="340" t="inlineStr">
        <is>
          <t>TELEFONE</t>
        </is>
      </c>
      <c r="C237" s="341" t="n"/>
    </row>
    <row r="238" ht="15" customHeight="1" s="163">
      <c r="A238" s="342">
        <f>HYPERLINK("#'PROD - Ana C. C. R. Souza'!A1",'PROD - Ana C. C. R. Souza'!B2)</f>
        <v/>
      </c>
      <c r="B238" s="343">
        <f>IF(OR('PROD - Ana C. C. R. Souza'!B3=0,'PROD - Ana C. C. R. Souza'!B3=""),"",'PROD - Ana C. C. R. Souza'!B3)</f>
        <v/>
      </c>
      <c r="C238" s="344" t="n"/>
    </row>
    <row r="239" ht="15" customHeight="1" s="163">
      <c r="A239" s="342">
        <f>HYPERLINK("#'PROD - Anderson Mello Quimas'!A1",'PROD - Anderson Mello Quimas'!B2)</f>
        <v/>
      </c>
      <c r="B239" s="343">
        <f>IF(OR('PROD - Anderson Mello Quimas'!B3=0,'PROD - Anderson Mello Quimas'!B3=""),"",'PROD - Anderson Mello Quimas'!B3)</f>
        <v/>
      </c>
      <c r="C239" s="344" t="n"/>
    </row>
    <row r="240" ht="15" customHeight="1" s="163">
      <c r="A240" s="342">
        <f>HYPERLINK("#'PROD - Armando Jose Silva'!A1",'PROD - Armando Jose Silva'!B2)</f>
        <v/>
      </c>
      <c r="B240" s="343">
        <f>IF(OR('PROD - Armando Jose Silva'!B3=0,'PROD - Armando Jose Silva'!B3=""),"",'PROD - Armando Jose Silva'!B3)</f>
        <v/>
      </c>
      <c r="C240" s="344" t="n"/>
    </row>
    <row r="241" ht="15" customHeight="1" s="163">
      <c r="A241" s="345">
        <f>HYPERLINK("#'PROD - Arnaldo Silva'!A1",'PROD - Arnaldo Silva'!B2)</f>
        <v/>
      </c>
      <c r="B241" s="343">
        <f>IF(OR('PROD - Arnaldo Silva'!B3=0,'PROD - Arnaldo Silva'!B3=""),"",'PROD - Arnaldo Silva'!B3)</f>
        <v/>
      </c>
      <c r="C241" s="344" t="n"/>
    </row>
    <row r="242" ht="15" customHeight="1" s="163">
      <c r="A242" s="345">
        <f>HYPERLINK("#'PROD - Claudeni R. Xavier'!A1",'PROD - Claudeni R. Xavier'!B2)</f>
        <v/>
      </c>
      <c r="B242" s="343">
        <f>IF(OR('PROD - Claudeni R. Xavier'!B3=0,'PROD - Claudeni R. Xavier'!B3=""),"",'PROD - Claudeni R. Xavier'!B3)</f>
        <v/>
      </c>
      <c r="C242" s="344" t="n"/>
    </row>
    <row r="243" ht="15" customHeight="1" s="163">
      <c r="A243" s="345">
        <f>HYPERLINK("#'PROD - Edson Jose Silva'!A1",'PROD - Edson Jose Silva'!B2)</f>
        <v/>
      </c>
      <c r="B243" s="343">
        <f>IF(OR('PROD - Edson Jose Silva'!B3=0,'PROD - Edson Jose Silva'!B3=""),"",'PROD - Edson Jose Silva'!B3)</f>
        <v/>
      </c>
      <c r="C243" s="344" t="n"/>
    </row>
    <row r="244" ht="15" customHeight="1" s="163">
      <c r="A244" s="345">
        <f>HYPERLINK("#'PROD - Gabriel Adriano Souza'!A1",'PROD - Gabriel Adriano Souza'!B2)</f>
        <v/>
      </c>
      <c r="B244" s="343">
        <f>IF(OR('PROD - Gabriel Adriano Souza'!B3=0,'PROD - Gabriel Adriano Souza'!B3=""),"",'PROD - Gabriel Adriano Souza'!B3)</f>
        <v/>
      </c>
      <c r="C244" s="344" t="n"/>
    </row>
    <row r="245" ht="15" customHeight="1" s="163">
      <c r="A245" s="345">
        <f>HYPERLINK("#'PROD - Gustavo Mello Rodrigues'!A1",'PROD - Gustavo Mello Rodrigues'!B2)</f>
        <v/>
      </c>
      <c r="B245" s="343">
        <f>IF(OR('PROD - Gustavo Mello Rodrigues'!B3=0,'PROD - Gustavo Mello Rodrigues'!B3=""),"",'PROD - Gustavo Mello Rodrigues'!B3)</f>
        <v/>
      </c>
      <c r="C245" s="344" t="n"/>
    </row>
    <row r="246" ht="15" customHeight="1" s="163">
      <c r="A246" s="345">
        <f>HYPERLINK("#'PROD - Joaquim Sergio Lage'!A1",'PROD - Joaquim Sergio Lage'!B2)</f>
        <v/>
      </c>
      <c r="B246" s="343">
        <f>IF(OR('PROD - Joaquim Sergio Lage'!B3=0,'PROD - Joaquim Sergio Lage'!B3=""),"",'PROD - Joaquim Sergio Lage'!B3)</f>
        <v/>
      </c>
      <c r="C246" s="344" t="n"/>
    </row>
    <row r="247" ht="15" customHeight="1" s="163">
      <c r="A247" s="345">
        <f>HYPERLINK("#'PROD - Jorge G. P. Diniz'!A1",'PROD - Jorge G. P. Diniz'!B2)</f>
        <v/>
      </c>
      <c r="B247" s="343">
        <f>IF(OR('PROD - Jorge G. P. Diniz'!B3=0,'PROD - Jorge G. P. Diniz'!B3=""),"",'PROD - Jorge G. P. Diniz'!B3)</f>
        <v/>
      </c>
      <c r="C247" s="344" t="n"/>
    </row>
    <row r="248" ht="15" customHeight="1" s="163">
      <c r="A248" s="345">
        <f>HYPERLINK("#'PROD - Jose G. S. Mello'!A1",'PROD - Jose G. S. Mello'!B2)</f>
        <v/>
      </c>
      <c r="B248" s="343">
        <f>IF(OR('PROD - Jose G. S. Mello'!B3=0,'PROD - Jose G. S. Mello'!B3=""),"",'PROD - Jose G. S. Mello'!B3)</f>
        <v/>
      </c>
      <c r="C248" s="344" t="n"/>
    </row>
    <row r="249" ht="15" customHeight="1" s="163">
      <c r="A249" s="345">
        <f>HYPERLINK("#'PROD - Jose Rodrigues Melo'!A1",'PROD - Jose Rodrigues Melo'!B2)</f>
        <v/>
      </c>
      <c r="B249" s="343">
        <f>IF(OR('PROD - Jose Rodrigues Melo'!B3=0,'PROD - Jose Rodrigues Melo'!B3=""),"",'PROD - Jose Rodrigues Melo'!B3)</f>
        <v/>
      </c>
      <c r="C249" s="344" t="n"/>
    </row>
    <row r="250" ht="15" customHeight="1" s="163">
      <c r="A250" s="345">
        <f>HYPERLINK("#'PROD - Lucio Mauro Felix Silva'!A1",'PROD - Lucio Mauro Felix Silva'!B2)</f>
        <v/>
      </c>
      <c r="B250" s="343">
        <f>IF(OR('PROD - Lucio Mauro Felix Silva'!B3=0,'PROD - Lucio Mauro Felix Silva'!B3=""),"",'PROD - Lucio Mauro Felix Silva'!B3)</f>
        <v/>
      </c>
      <c r="C250" s="344" t="n"/>
    </row>
    <row r="251" ht="15" customHeight="1" s="163">
      <c r="A251" s="345">
        <f>HYPERLINK("#'PROD - Luiz A. O. Pinto'!A1",'PROD - Luiz A. O. Pinto'!B2)</f>
        <v/>
      </c>
      <c r="B251" s="343">
        <f>IF(OR('PROD - Luiz A. O. Pinto'!B3=0,'PROD - Luiz A. O. Pinto'!B3=""),"",'PROD - Luiz A. O. Pinto'!B3)</f>
        <v/>
      </c>
      <c r="C251" s="344" t="n"/>
    </row>
    <row r="252" ht="15" customHeight="1" s="163">
      <c r="A252" s="345">
        <f>HYPERLINK("#'PROD - Marcelo Marcos Delgado'!A1",'PROD - Marcelo Marcos Delgado'!B2)</f>
        <v/>
      </c>
      <c r="B252" s="343">
        <f>IF(OR('PROD - Marcelo Marcos Delgado'!B3=0,'PROD - Marcelo Marcos Delgado'!B3=""),"",'PROD - Marcelo Marcos Delgado'!B3)</f>
        <v/>
      </c>
      <c r="C252" s="344" t="n"/>
    </row>
    <row r="253" ht="15" customHeight="1" s="163">
      <c r="A253" s="345">
        <f>HYPERLINK("#'PROD - Marcio Azevedo Souza'!A1",'PROD - Marcio Azevedo Souza'!B2)</f>
        <v/>
      </c>
      <c r="B253" s="343">
        <f>IF(OR('PROD - Marcio Azevedo Souza'!B3=0,'PROD - Marcio Azevedo Souza'!B3=""),"",'PROD - Marcio Azevedo Souza'!B3)</f>
        <v/>
      </c>
      <c r="C253" s="344" t="n"/>
    </row>
    <row r="254" ht="15" customHeight="1" s="163">
      <c r="A254" s="345">
        <f>HYPERLINK("#'PROD - Marco Antonio Coelho'!A1",'PROD - Marco Antonio Coelho'!B2)</f>
        <v/>
      </c>
      <c r="B254" s="343">
        <f>IF(OR('PROD - Marco Antonio Coelho'!B3=0,'PROD - Marco Antonio Coelho'!B3=""),"",'PROD - Marco Antonio Coelho'!B3)</f>
        <v/>
      </c>
      <c r="C254" s="344" t="n"/>
    </row>
    <row r="255" ht="15" customHeight="1" s="163">
      <c r="A255" s="345">
        <f>HYPERLINK("#'PROD - Marcos Marcelo Delgado'!A1",'PROD - Marcos Marcelo Delgado'!B2)</f>
        <v/>
      </c>
      <c r="B255" s="343">
        <f>IF(OR('PROD - Marcos Marcelo Delgado'!B3=0,'PROD - Marcos Marcelo Delgado'!B3=""),"",'PROD - Marcos Marcelo Delgado'!B3)</f>
        <v/>
      </c>
      <c r="C255" s="344" t="n"/>
    </row>
    <row r="256" ht="15" customHeight="1" s="163">
      <c r="A256" s="345">
        <f>HYPERLINK("#'PROD - Miguel Fernando Almeida'!A1",'PROD - Miguel Fernando Almeida'!B2)</f>
        <v/>
      </c>
      <c r="B256" s="343">
        <f>IF(OR('PROD - Miguel Fernando Almeida'!B3=0,'PROD - Miguel Fernando Almeida'!B3=""),"",'PROD - Miguel Fernando Almeida'!B3)</f>
        <v/>
      </c>
      <c r="C256" s="344" t="n"/>
    </row>
    <row r="257" ht="15" customHeight="1" s="163">
      <c r="A257" s="345">
        <f>HYPERLINK("#'PROD - Nilson Ferreira Silva'!A1",'PROD - Nilson Ferreira Silva'!B2)</f>
        <v/>
      </c>
      <c r="B257" s="343">
        <f>IF(OR('PROD - Nilson Ferreira Silva'!B3=0,'PROD - Nilson Ferreira Silva'!B3=""),"",'PROD - Nilson Ferreira Silva'!B3)</f>
        <v/>
      </c>
      <c r="C257" s="344" t="n"/>
    </row>
    <row r="258" ht="15" customHeight="1" s="163">
      <c r="A258" s="345">
        <f>HYPERLINK("#'PROD - Renato Jose Silva'!A1",'PROD - Renato Jose Silva'!B2)</f>
        <v/>
      </c>
      <c r="B258" s="343">
        <f>IF(OR('PROD - Renato Jose Silva'!B3=0,'PROD - Renato Jose Silva'!B3=""),"",'PROD - Renato Jose Silva'!B3)</f>
        <v/>
      </c>
      <c r="C258" s="344" t="n"/>
    </row>
    <row r="259" ht="15" customHeight="1" s="163">
      <c r="A259" s="345">
        <f>HYPERLINK("#'PROD - Rodolfo Azevedo Andrade'!A1",'PROD - Rodolfo Azevedo Andrade'!B2)</f>
        <v/>
      </c>
      <c r="B259" s="343">
        <f>IF(OR('PROD - Rodolfo Azevedo Andrade'!B3=0,'PROD - Rodolfo Azevedo Andrade'!B3=""),"",'PROD - Rodolfo Azevedo Andrade'!B3)</f>
        <v/>
      </c>
      <c r="C259" s="344" t="n"/>
    </row>
    <row r="260">
      <c r="C260" s="346" t="n"/>
    </row>
    <row r="261">
      <c r="C261" s="346" t="n"/>
    </row>
  </sheetData>
  <mergeCells count="12">
    <mergeCell ref="A24:F24"/>
    <mergeCell ref="A16:F16"/>
    <mergeCell ref="A33:F33"/>
    <mergeCell ref="A28:F28"/>
    <mergeCell ref="A14:F14"/>
    <mergeCell ref="A31:F31"/>
    <mergeCell ref="A22:F22"/>
    <mergeCell ref="A18:F18"/>
    <mergeCell ref="A35:F35"/>
    <mergeCell ref="A26:F26"/>
    <mergeCell ref="A30:F30"/>
    <mergeCell ref="A20:F2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V267"/>
  <sheetViews>
    <sheetView showFormulas="0" showGridLines="0" showRowColHeaders="1" showZeros="1" rightToLeft="0" tabSelected="1"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208" activeCellId="0" sqref="C208"/>
    </sheetView>
  </sheetViews>
  <sheetFormatPr baseColWidth="8" defaultColWidth="8.6796875" defaultRowHeight="15" zeroHeight="0" outlineLevelRow="0"/>
  <cols>
    <col width="34" customWidth="1" style="162" min="1" max="1"/>
    <col width="42" customWidth="1" style="162" min="2" max="2"/>
    <col width="13" customWidth="1" style="162" min="3" max="21"/>
    <col hidden="1" width="13" customWidth="1" style="163" min="19" max="19"/>
    <col hidden="1" width="16" customWidth="1" style="162" min="22" max="22"/>
  </cols>
  <sheetData>
    <row r="1" ht="25.5" customHeight="1" s="163">
      <c r="A1" s="164" t="inlineStr">
        <is>
          <t>ENTRADA DE DADOS</t>
        </is>
      </c>
    </row>
    <row r="2" ht="15" customHeight="1" s="163">
      <c r="A2" s="184" t="inlineStr">
        <is>
          <t>PREÇO (R$/kg)</t>
        </is>
      </c>
      <c r="C2" s="185" t="n">
        <v>15.57</v>
      </c>
      <c r="D2" s="185" t="n">
        <v>7.7</v>
      </c>
      <c r="E2" s="185" t="n">
        <v>16.94</v>
      </c>
      <c r="F2" s="185" t="n">
        <v>14.62</v>
      </c>
      <c r="G2" s="185" t="n">
        <v>12.05</v>
      </c>
      <c r="H2" s="185" t="n">
        <v>11.59</v>
      </c>
      <c r="I2" s="185" t="n">
        <v>9.869999999999999</v>
      </c>
      <c r="J2" s="185" t="n">
        <v>13.67</v>
      </c>
      <c r="K2" s="185" t="n">
        <v>10.2</v>
      </c>
      <c r="L2" s="185" t="n">
        <v>25.1</v>
      </c>
      <c r="M2" s="185" t="n">
        <v>8.56</v>
      </c>
      <c r="N2" s="185" t="n">
        <v>14.6</v>
      </c>
      <c r="O2" s="185" t="n">
        <v>19.11</v>
      </c>
      <c r="P2" s="185" t="n">
        <v>11.22</v>
      </c>
      <c r="Q2" s="185" t="n">
        <v>16.63</v>
      </c>
      <c r="R2" s="185" t="n">
        <v>65.68000000000001</v>
      </c>
      <c r="S2" s="185" t="n">
        <v>15.45</v>
      </c>
      <c r="T2" s="185" t="n">
        <v>10.24</v>
      </c>
      <c r="U2" s="185" t="n">
        <v>13.55</v>
      </c>
    </row>
    <row r="4" ht="21.75" customHeight="1" s="163">
      <c r="A4" s="186" t="inlineStr">
        <is>
          <t>PEDIDO DAS ESCOLAS (kg)</t>
        </is>
      </c>
    </row>
    <row r="5" ht="30" customHeight="1" s="163">
      <c r="A5" s="187" t="inlineStr">
        <is>
          <t>CÓDIGO</t>
        </is>
      </c>
      <c r="B5" s="187" t="inlineStr">
        <is>
          <t>ESCOLA</t>
        </is>
      </c>
      <c r="C5" s="187" t="inlineStr">
        <is>
          <t>Abacate</t>
        </is>
      </c>
      <c r="D5" s="187" t="inlineStr">
        <is>
          <t>Abobrinha</t>
        </is>
      </c>
      <c r="E5" s="187" t="inlineStr">
        <is>
          <t>Agrião</t>
        </is>
      </c>
      <c r="F5" s="187" t="inlineStr">
        <is>
          <t>Alface lisa</t>
        </is>
      </c>
      <c r="G5" s="187" t="inlineStr">
        <is>
          <t>Banana prata</t>
        </is>
      </c>
      <c r="H5" s="187" t="inlineStr">
        <is>
          <t>Batata inglesa</t>
        </is>
      </c>
      <c r="I5" s="187" t="inlineStr">
        <is>
          <t>Beterraba</t>
        </is>
      </c>
      <c r="J5" s="187" t="inlineStr">
        <is>
          <t>Brócolis</t>
        </is>
      </c>
      <c r="K5" s="187" t="inlineStr">
        <is>
          <t>Cenoura</t>
        </is>
      </c>
      <c r="L5" s="187" t="inlineStr">
        <is>
          <t>Cheiro verde</t>
        </is>
      </c>
      <c r="M5" s="187" t="inlineStr">
        <is>
          <t>Chuchu</t>
        </is>
      </c>
      <c r="N5" s="187" t="inlineStr">
        <is>
          <t>Couve manteiga</t>
        </is>
      </c>
      <c r="O5" s="187" t="inlineStr">
        <is>
          <t>Couve-flor</t>
        </is>
      </c>
      <c r="P5" s="187" t="inlineStr">
        <is>
          <t>Espinafre</t>
        </is>
      </c>
      <c r="Q5" s="187" t="inlineStr">
        <is>
          <t>Maçã gala</t>
        </is>
      </c>
      <c r="R5" s="187" t="inlineStr">
        <is>
          <t>Mel</t>
        </is>
      </c>
      <c r="S5" s="187" t="inlineStr">
        <is>
          <t>Ovos (dz)</t>
        </is>
      </c>
      <c r="T5" s="187" t="inlineStr">
        <is>
          <t>Repolho</t>
        </is>
      </c>
      <c r="U5" s="187" t="inlineStr">
        <is>
          <t>Tangerina ponkan</t>
        </is>
      </c>
      <c r="V5" s="162" t="inlineStr">
        <is>
          <t>Aba real (ref.)</t>
        </is>
      </c>
    </row>
    <row r="6" ht="15" customHeight="1" s="163">
      <c r="A6" s="188">
        <f>'E M ABELARDO DE LAMARE'!B5</f>
        <v/>
      </c>
      <c r="B6" s="189">
        <f>HYPERLINK("#'E M ABELARDO DE LAMARE'!A1",'E M ABELARDO DE LAMARE'!B2)</f>
        <v/>
      </c>
      <c r="C6" s="190" t="n"/>
      <c r="D6" s="190" t="n"/>
      <c r="E6" s="190" t="n"/>
      <c r="F6" s="190" t="n"/>
      <c r="G6" s="190" t="n"/>
      <c r="H6" s="190" t="n"/>
      <c r="I6" s="190" t="n"/>
      <c r="J6" s="190" t="n"/>
      <c r="K6" s="190" t="n"/>
      <c r="L6" s="190" t="n"/>
      <c r="M6" s="190" t="n"/>
      <c r="N6" s="190" t="n"/>
      <c r="O6" s="190" t="n"/>
      <c r="P6" s="190" t="n"/>
      <c r="Q6" s="190" t="n"/>
      <c r="R6" s="190" t="n"/>
      <c r="S6" s="323" t="n"/>
      <c r="T6" s="190" t="n"/>
      <c r="U6" s="190" t="n"/>
      <c r="V6" s="162" t="inlineStr">
        <is>
          <t>E M ABELARDO DE LAMARE</t>
        </is>
      </c>
    </row>
    <row r="7" ht="15" customHeight="1" s="163">
      <c r="A7" s="188">
        <f>'E M BATAILLARD'!B5</f>
        <v/>
      </c>
      <c r="B7" s="189">
        <f>HYPERLINK("#'E M BATAILLARD'!A1",'E M BATAILLARD'!B2)</f>
        <v/>
      </c>
      <c r="C7" s="190" t="n"/>
      <c r="D7" s="190" t="n"/>
      <c r="E7" s="190" t="n"/>
      <c r="F7" s="190" t="n"/>
      <c r="G7" s="190" t="n"/>
      <c r="H7" s="190" t="n"/>
      <c r="I7" s="190" t="n"/>
      <c r="J7" s="190" t="n"/>
      <c r="K7" s="190" t="n"/>
      <c r="L7" s="190" t="n"/>
      <c r="M7" s="190" t="n"/>
      <c r="N7" s="190" t="n"/>
      <c r="O7" s="190" t="n"/>
      <c r="P7" s="190" t="n"/>
      <c r="Q7" s="190" t="n"/>
      <c r="R7" s="190" t="n"/>
      <c r="S7" s="323" t="n"/>
      <c r="T7" s="190" t="n"/>
      <c r="U7" s="190" t="n"/>
      <c r="V7" s="162" t="inlineStr">
        <is>
          <t>E M BATAILLARD</t>
        </is>
      </c>
    </row>
    <row r="8" ht="15" customHeight="1" s="163">
      <c r="A8" s="188">
        <f>'E M LEONARDO BOFF'!B5</f>
        <v/>
      </c>
      <c r="B8" s="189">
        <f>HYPERLINK("#'E M LEONARDO BOFF'!A1",'E M LEONARDO BOFF'!B2)</f>
        <v/>
      </c>
      <c r="C8" s="190" t="n"/>
      <c r="D8" s="190" t="n"/>
      <c r="E8" s="190" t="n"/>
      <c r="F8" s="190" t="n"/>
      <c r="G8" s="190" t="n"/>
      <c r="H8" s="190" t="n"/>
      <c r="I8" s="190" t="n"/>
      <c r="J8" s="190" t="n"/>
      <c r="K8" s="190" t="n"/>
      <c r="L8" s="190" t="n"/>
      <c r="M8" s="190" t="n"/>
      <c r="N8" s="190" t="n"/>
      <c r="O8" s="190" t="n"/>
      <c r="P8" s="190" t="n"/>
      <c r="Q8" s="190" t="n"/>
      <c r="R8" s="190" t="n"/>
      <c r="S8" s="323" t="n"/>
      <c r="T8" s="190" t="n"/>
      <c r="U8" s="190" t="n"/>
      <c r="V8" s="162" t="inlineStr">
        <is>
          <t>E M LEONARDO BOFF</t>
        </is>
      </c>
    </row>
    <row r="9" ht="15" customHeight="1" s="163">
      <c r="A9" s="188">
        <f>'E M CLEMENTE FERNANDES'!B5</f>
        <v/>
      </c>
      <c r="B9" s="189">
        <f>HYPERLINK("#'E M CLEMENTE FERNANDES'!A1",'E M CLEMENTE FERNANDES'!B2)</f>
        <v/>
      </c>
      <c r="C9" s="190" t="n"/>
      <c r="D9" s="190" t="n"/>
      <c r="E9" s="190" t="n"/>
      <c r="F9" s="190" t="n"/>
      <c r="G9" s="190" t="n"/>
      <c r="H9" s="190" t="n"/>
      <c r="I9" s="190" t="n"/>
      <c r="J9" s="190" t="n"/>
      <c r="K9" s="190" t="n"/>
      <c r="L9" s="190" t="n"/>
      <c r="M9" s="190" t="n"/>
      <c r="N9" s="190" t="n"/>
      <c r="O9" s="190" t="n"/>
      <c r="P9" s="190" t="n"/>
      <c r="Q9" s="190" t="n"/>
      <c r="R9" s="190" t="n"/>
      <c r="S9" s="323" t="n"/>
      <c r="T9" s="190" t="n"/>
      <c r="U9" s="190" t="n"/>
      <c r="V9" s="162" t="inlineStr">
        <is>
          <t>E M CLEMENTE FERNANDES</t>
        </is>
      </c>
    </row>
    <row r="10" ht="15" customHeight="1" s="163">
      <c r="A10" s="188">
        <f>'E M DOM PEDRO DE ALCÂNTARA'!B5</f>
        <v/>
      </c>
      <c r="B10" s="189">
        <f>HYPERLINK("#'E M DOM PEDRO DE ALCÂNTARA'!A1",'E M DOM PEDRO DE ALCÂNTARA'!B2)</f>
        <v/>
      </c>
      <c r="C10" s="190" t="n"/>
      <c r="D10" s="190" t="n"/>
      <c r="E10" s="190" t="n"/>
      <c r="F10" s="190" t="n"/>
      <c r="G10" s="190" t="n"/>
      <c r="H10" s="190" t="n"/>
      <c r="I10" s="190" t="n"/>
      <c r="J10" s="190" t="n"/>
      <c r="K10" s="190" t="n"/>
      <c r="L10" s="190" t="n"/>
      <c r="M10" s="190" t="n"/>
      <c r="N10" s="190" t="n"/>
      <c r="O10" s="190" t="n"/>
      <c r="P10" s="190" t="n"/>
      <c r="Q10" s="190" t="n"/>
      <c r="R10" s="190" t="n"/>
      <c r="S10" s="323" t="n"/>
      <c r="T10" s="190" t="n"/>
      <c r="U10" s="190" t="n"/>
      <c r="V10" s="162" t="inlineStr">
        <is>
          <t>E M DOM PEDRO DE ALCÂNTARA</t>
        </is>
      </c>
    </row>
    <row r="11" ht="15" customHeight="1" s="163">
      <c r="A11" s="188">
        <f>'E M DUQUE DE CAXIAS'!B5</f>
        <v/>
      </c>
      <c r="B11" s="189">
        <f>HYPERLINK("#'E M DUQUE DE CAXIAS'!A1",'E M DUQUE DE CAXIAS'!B2)</f>
        <v/>
      </c>
      <c r="C11" s="190" t="n"/>
      <c r="D11" s="190" t="n"/>
      <c r="E11" s="190" t="n"/>
      <c r="F11" s="190" t="n"/>
      <c r="G11" s="190" t="n"/>
      <c r="H11" s="190" t="n"/>
      <c r="I11" s="190" t="n"/>
      <c r="J11" s="190" t="n"/>
      <c r="K11" s="190" t="n"/>
      <c r="L11" s="190" t="n"/>
      <c r="M11" s="190" t="n"/>
      <c r="N11" s="190" t="n"/>
      <c r="O11" s="190" t="n"/>
      <c r="P11" s="190" t="n"/>
      <c r="Q11" s="190" t="n"/>
      <c r="R11" s="190" t="n"/>
      <c r="S11" s="323" t="n"/>
      <c r="T11" s="190" t="n"/>
      <c r="U11" s="190" t="n"/>
      <c r="V11" s="162" t="inlineStr">
        <is>
          <t>E M DUQUE DE CAXIAS</t>
        </is>
      </c>
    </row>
    <row r="12" ht="15" customHeight="1" s="163">
      <c r="A12" s="188">
        <f>'E M LUIZ CARLOS SOARES'!B5</f>
        <v/>
      </c>
      <c r="B12" s="189">
        <f>HYPERLINK("#'E M LUIZ CARLOS SOARES'!A1",'E M LUIZ CARLOS SOARES'!B2)</f>
        <v/>
      </c>
      <c r="C12" s="190" t="n"/>
      <c r="D12" s="190" t="n"/>
      <c r="E12" s="190" t="n"/>
      <c r="F12" s="190" t="n"/>
      <c r="G12" s="190" t="n"/>
      <c r="H12" s="190" t="n"/>
      <c r="I12" s="190" t="n"/>
      <c r="J12" s="190" t="n"/>
      <c r="K12" s="190" t="n"/>
      <c r="L12" s="190" t="n"/>
      <c r="M12" s="190" t="n"/>
      <c r="N12" s="190" t="n"/>
      <c r="O12" s="190" t="n"/>
      <c r="P12" s="190" t="n"/>
      <c r="Q12" s="190" t="n"/>
      <c r="R12" s="190" t="n"/>
      <c r="S12" s="323" t="n"/>
      <c r="T12" s="190" t="n"/>
      <c r="U12" s="190" t="n"/>
      <c r="V12" s="162" t="inlineStr">
        <is>
          <t>E M LUIZ CARLOS SOARES</t>
        </is>
      </c>
    </row>
    <row r="13" ht="15" customHeight="1" s="163">
      <c r="A13" s="188">
        <f>'ESCOLA MUNICIPAL GENERAL HEITOR'!B5</f>
        <v/>
      </c>
      <c r="B13" s="189">
        <f>HYPERLINK("#'ESCOLA MUNICIPAL GENERAL HEITOR'!A1",'ESCOLA MUNICIPAL GENERAL HEITOR'!B2)</f>
        <v/>
      </c>
      <c r="C13" s="190" t="n"/>
      <c r="D13" s="190" t="n"/>
      <c r="E13" s="190" t="n"/>
      <c r="F13" s="190" t="n"/>
      <c r="G13" s="190" t="n"/>
      <c r="H13" s="190" t="n"/>
      <c r="I13" s="190" t="n"/>
      <c r="J13" s="190" t="n"/>
      <c r="K13" s="190" t="n"/>
      <c r="L13" s="190" t="n"/>
      <c r="M13" s="190" t="n"/>
      <c r="N13" s="190" t="n"/>
      <c r="O13" s="190" t="n"/>
      <c r="P13" s="190" t="n"/>
      <c r="Q13" s="190" t="n"/>
      <c r="R13" s="190" t="n"/>
      <c r="S13" s="323" t="n"/>
      <c r="T13" s="190" t="n"/>
      <c r="U13" s="190" t="n"/>
      <c r="V13" s="162" t="inlineStr">
        <is>
          <t>ESCOLA MUNICIPAL GENERAL HEITOR</t>
        </is>
      </c>
    </row>
    <row r="14" ht="15" customHeight="1" s="163">
      <c r="A14" s="188">
        <f>'E M JOÃO KOPKE'!B5</f>
        <v/>
      </c>
      <c r="B14" s="189">
        <f>HYPERLINK("#'E M JOÃO KOPKE'!A1",'E M JOÃO KOPKE'!B2)</f>
        <v/>
      </c>
      <c r="C14" s="190" t="n"/>
      <c r="D14" s="190" t="n"/>
      <c r="E14" s="190" t="n"/>
      <c r="F14" s="190" t="n"/>
      <c r="G14" s="190" t="n"/>
      <c r="H14" s="190" t="n"/>
      <c r="I14" s="190" t="n"/>
      <c r="J14" s="190" t="n"/>
      <c r="K14" s="190" t="n"/>
      <c r="L14" s="190" t="n"/>
      <c r="M14" s="190" t="n"/>
      <c r="N14" s="190" t="n"/>
      <c r="O14" s="190" t="n"/>
      <c r="P14" s="190" t="n"/>
      <c r="Q14" s="190" t="n"/>
      <c r="R14" s="190" t="n"/>
      <c r="S14" s="323" t="n"/>
      <c r="T14" s="190" t="n"/>
      <c r="U14" s="190" t="n"/>
      <c r="V14" s="162" t="inlineStr">
        <is>
          <t>E M JOÃO KOPKE</t>
        </is>
      </c>
    </row>
    <row r="15" ht="15" customHeight="1" s="163">
      <c r="A15" s="188">
        <f>'ESCOLA MUNICIPAL ODETTE FONSECA'!B5</f>
        <v/>
      </c>
      <c r="B15" s="189">
        <f>HYPERLINK("#'ESCOLA MUNICIPAL ODETTE FONSECA'!A1",'ESCOLA MUNICIPAL ODETTE FONSECA'!B2)</f>
        <v/>
      </c>
      <c r="C15" s="190" t="n"/>
      <c r="D15" s="190" t="n"/>
      <c r="E15" s="190" t="n"/>
      <c r="F15" s="190" t="n"/>
      <c r="G15" s="190" t="n"/>
      <c r="H15" s="190" t="n"/>
      <c r="I15" s="190" t="n"/>
      <c r="J15" s="190" t="n"/>
      <c r="K15" s="190" t="n"/>
      <c r="L15" s="190" t="n"/>
      <c r="M15" s="190" t="n"/>
      <c r="N15" s="190" t="n"/>
      <c r="O15" s="190" t="n"/>
      <c r="P15" s="190" t="n"/>
      <c r="Q15" s="190" t="n"/>
      <c r="R15" s="190" t="n"/>
      <c r="S15" s="323" t="n"/>
      <c r="T15" s="190" t="n"/>
      <c r="U15" s="190" t="n"/>
      <c r="V15" s="162" t="inlineStr">
        <is>
          <t>ESCOLA MUNICIPAL ODETTE FONSECA</t>
        </is>
      </c>
    </row>
    <row r="16" ht="15" customHeight="1" s="163">
      <c r="A16" s="188">
        <f>'E M GOVERNADOR MARCELLO ALENCAR'!B5</f>
        <v/>
      </c>
      <c r="B16" s="189">
        <f>HYPERLINK("#'E M GOVERNADOR MARCELLO ALENCAR'!A1",'E M GOVERNADOR MARCELLO ALENCAR'!B2)</f>
        <v/>
      </c>
      <c r="C16" s="190" t="n"/>
      <c r="D16" s="190" t="n"/>
      <c r="E16" s="190" t="n"/>
      <c r="F16" s="190" t="n"/>
      <c r="G16" s="190" t="n"/>
      <c r="H16" s="190" t="n"/>
      <c r="I16" s="190" t="n"/>
      <c r="J16" s="190" t="n"/>
      <c r="K16" s="190" t="n"/>
      <c r="L16" s="190" t="n"/>
      <c r="M16" s="190" t="n"/>
      <c r="N16" s="190" t="n"/>
      <c r="O16" s="190" t="n"/>
      <c r="P16" s="190" t="n"/>
      <c r="Q16" s="190" t="n"/>
      <c r="R16" s="190" t="n"/>
      <c r="S16" s="323" t="n"/>
      <c r="T16" s="190" t="n"/>
      <c r="U16" s="190" t="n"/>
      <c r="V16" s="162" t="inlineStr">
        <is>
          <t>E M GOVERNADOR MARCELLO ALENCAR</t>
        </is>
      </c>
    </row>
    <row r="17" ht="15" customHeight="1" s="163">
      <c r="A17" s="188">
        <f>'E M PROF JOAQUIM DEISTER'!B5</f>
        <v/>
      </c>
      <c r="B17" s="189">
        <f>HYPERLINK("#'E M PROF JOAQUIM DEISTER'!A1",'E M PROF JOAQUIM DEISTER'!B2)</f>
        <v/>
      </c>
      <c r="C17" s="190" t="n"/>
      <c r="D17" s="190" t="n"/>
      <c r="E17" s="190" t="n"/>
      <c r="F17" s="190" t="n"/>
      <c r="G17" s="190" t="n"/>
      <c r="H17" s="190" t="n"/>
      <c r="I17" s="190" t="n"/>
      <c r="J17" s="190" t="n"/>
      <c r="K17" s="190" t="n"/>
      <c r="L17" s="190" t="n"/>
      <c r="M17" s="190" t="n"/>
      <c r="N17" s="190" t="n"/>
      <c r="O17" s="190" t="n"/>
      <c r="P17" s="190" t="n"/>
      <c r="Q17" s="190" t="n"/>
      <c r="R17" s="190" t="n"/>
      <c r="S17" s="323" t="n"/>
      <c r="T17" s="190" t="n"/>
      <c r="U17" s="190" t="n"/>
      <c r="V17" s="162" t="inlineStr">
        <is>
          <t>E M PROF JOAQUIM DEISTER</t>
        </is>
      </c>
    </row>
    <row r="18" ht="15" customHeight="1" s="163">
      <c r="A18" s="188">
        <f>'E M ROBERT KENNEDY'!B5</f>
        <v/>
      </c>
      <c r="B18" s="189">
        <f>HYPERLINK("#'E M ROBERT KENNEDY'!A1",'E M ROBERT KENNEDY'!B2)</f>
        <v/>
      </c>
      <c r="C18" s="190" t="n"/>
      <c r="D18" s="190" t="n"/>
      <c r="E18" s="190" t="n"/>
      <c r="F18" s="190" t="n"/>
      <c r="G18" s="190" t="n"/>
      <c r="H18" s="190" t="n"/>
      <c r="I18" s="190" t="n"/>
      <c r="J18" s="190" t="n"/>
      <c r="K18" s="190" t="n"/>
      <c r="L18" s="190" t="n"/>
      <c r="M18" s="190" t="n"/>
      <c r="N18" s="190" t="n"/>
      <c r="O18" s="190" t="n"/>
      <c r="P18" s="190" t="n"/>
      <c r="Q18" s="190" t="n"/>
      <c r="R18" s="190" t="n"/>
      <c r="S18" s="323" t="n"/>
      <c r="T18" s="190" t="n"/>
      <c r="U18" s="190" t="n"/>
      <c r="V18" s="162" t="inlineStr">
        <is>
          <t>E M ROBERT KENNEDY</t>
        </is>
      </c>
    </row>
    <row r="19" ht="15" customHeight="1" s="163">
      <c r="A19" s="188">
        <f>'E M ROTARY'!B5</f>
        <v/>
      </c>
      <c r="B19" s="189">
        <f>HYPERLINK("#'E M ROTARY'!A1",'E M ROTARY'!B2)</f>
        <v/>
      </c>
      <c r="C19" s="190" t="n"/>
      <c r="D19" s="190" t="n"/>
      <c r="E19" s="190" t="n"/>
      <c r="F19" s="190" t="n"/>
      <c r="G19" s="190" t="n"/>
      <c r="H19" s="190" t="n"/>
      <c r="I19" s="190" t="n"/>
      <c r="J19" s="190" t="n"/>
      <c r="K19" s="190" t="n"/>
      <c r="L19" s="190" t="n"/>
      <c r="M19" s="190" t="n"/>
      <c r="N19" s="190" t="n"/>
      <c r="O19" s="190" t="n"/>
      <c r="P19" s="190" t="n"/>
      <c r="Q19" s="190" t="n"/>
      <c r="R19" s="190" t="n"/>
      <c r="S19" s="323" t="n"/>
      <c r="T19" s="190" t="n"/>
      <c r="U19" s="190" t="n"/>
      <c r="V19" s="162" t="inlineStr">
        <is>
          <t>E M ROTARY</t>
        </is>
      </c>
    </row>
    <row r="20" ht="15" customHeight="1" s="163">
      <c r="A20" s="188">
        <f>'E M ROSALINA NICOLAY'!B5</f>
        <v/>
      </c>
      <c r="B20" s="189">
        <f>HYPERLINK("#'E M ROSALINA NICOLAY'!A1",'E M ROSALINA NICOLAY'!B2)</f>
        <v/>
      </c>
      <c r="C20" s="190" t="n"/>
      <c r="D20" s="190" t="n"/>
      <c r="E20" s="190" t="n"/>
      <c r="F20" s="190" t="n"/>
      <c r="G20" s="190" t="n"/>
      <c r="H20" s="190" t="n"/>
      <c r="I20" s="190" t="n"/>
      <c r="J20" s="190" t="n"/>
      <c r="K20" s="190" t="n"/>
      <c r="L20" s="190" t="n"/>
      <c r="M20" s="190" t="n"/>
      <c r="N20" s="190" t="n"/>
      <c r="O20" s="190" t="n"/>
      <c r="P20" s="190" t="n"/>
      <c r="Q20" s="190" t="n"/>
      <c r="R20" s="190" t="n"/>
      <c r="S20" s="323" t="n"/>
      <c r="T20" s="190" t="n"/>
      <c r="U20" s="190" t="n"/>
      <c r="V20" s="162" t="inlineStr">
        <is>
          <t>E M ROSALINA NICOLAY</t>
        </is>
      </c>
    </row>
    <row r="21" ht="15" customHeight="1" s="163">
      <c r="A21" s="188">
        <f>'E M DE EDUCAÇÃO ESPECIAL SANTOS'!B5</f>
        <v/>
      </c>
      <c r="B21" s="189">
        <f>HYPERLINK("#'E M DE EDUCAÇÃO ESPECIAL SANTOS'!A1",'E M DE EDUCAÇÃO ESPECIAL SANTOS'!B2)</f>
        <v/>
      </c>
      <c r="C21" s="190" t="n"/>
      <c r="D21" s="190" t="n"/>
      <c r="E21" s="190" t="n"/>
      <c r="F21" s="190" t="n"/>
      <c r="G21" s="190" t="n"/>
      <c r="H21" s="190" t="n"/>
      <c r="I21" s="190" t="n"/>
      <c r="J21" s="190" t="n"/>
      <c r="K21" s="190" t="n"/>
      <c r="L21" s="190" t="n"/>
      <c r="M21" s="190" t="n"/>
      <c r="N21" s="190" t="n"/>
      <c r="O21" s="190" t="n"/>
      <c r="P21" s="190" t="n"/>
      <c r="Q21" s="190" t="n"/>
      <c r="R21" s="190" t="n"/>
      <c r="S21" s="323" t="n"/>
      <c r="T21" s="190" t="n"/>
      <c r="U21" s="190" t="n"/>
      <c r="V21" s="162" t="inlineStr">
        <is>
          <t>E M DE EDUCAÇÃO ESPECIAL SANTOS</t>
        </is>
      </c>
    </row>
    <row r="22" ht="15" customHeight="1" s="163">
      <c r="A22" s="188">
        <f>'E M SOROPTIMISTA'!B5</f>
        <v/>
      </c>
      <c r="B22" s="189">
        <f>HYPERLINK("#'E M SOROPTIMISTA'!A1",'E M SOROPTIMISTA'!B2)</f>
        <v/>
      </c>
      <c r="C22" s="190" t="n"/>
      <c r="D22" s="190" t="n"/>
      <c r="E22" s="190" t="n"/>
      <c r="F22" s="190" t="n"/>
      <c r="G22" s="190" t="n"/>
      <c r="H22" s="190" t="n"/>
      <c r="I22" s="190" t="n"/>
      <c r="J22" s="190" t="n"/>
      <c r="K22" s="190" t="n"/>
      <c r="L22" s="190" t="n"/>
      <c r="M22" s="190" t="n"/>
      <c r="N22" s="190" t="n"/>
      <c r="O22" s="190" t="n"/>
      <c r="P22" s="190" t="n"/>
      <c r="Q22" s="190" t="n"/>
      <c r="R22" s="190" t="n"/>
      <c r="S22" s="323" t="n"/>
      <c r="T22" s="190" t="n"/>
      <c r="U22" s="190" t="n"/>
      <c r="V22" s="162" t="inlineStr">
        <is>
          <t>E M SOROPTIMISTA</t>
        </is>
      </c>
    </row>
    <row r="23" ht="15" customHeight="1" s="163">
      <c r="A23" s="188">
        <f>'LICEU MUN PREFEITO CORDOLINO AM'!B5</f>
        <v/>
      </c>
      <c r="B23" s="189">
        <f>HYPERLINK("#'LICEU MUN PREFEITO CORDOLINO AM'!A1",'LICEU MUN PREFEITO CORDOLINO AM'!B2)</f>
        <v/>
      </c>
      <c r="C23" s="190" t="n"/>
      <c r="D23" s="190" t="n"/>
      <c r="E23" s="190" t="n"/>
      <c r="F23" s="190" t="n"/>
      <c r="G23" s="190" t="n"/>
      <c r="H23" s="190" t="n"/>
      <c r="I23" s="190" t="n"/>
      <c r="J23" s="190" t="n"/>
      <c r="K23" s="190" t="n"/>
      <c r="L23" s="190" t="n"/>
      <c r="M23" s="190" t="n"/>
      <c r="N23" s="190" t="n"/>
      <c r="O23" s="190" t="n"/>
      <c r="P23" s="190" t="n"/>
      <c r="Q23" s="190" t="n"/>
      <c r="R23" s="190" t="n"/>
      <c r="S23" s="323" t="n"/>
      <c r="T23" s="190" t="n"/>
      <c r="U23" s="190" t="n"/>
      <c r="V23" s="162" t="inlineStr">
        <is>
          <t>LICEU MUN PREFEITO CORDOLINO AM</t>
        </is>
      </c>
    </row>
    <row r="24" ht="15" customHeight="1" s="163">
      <c r="A24" s="188">
        <f>'E M ANTÔNIO LEITE GARCIA'!B5</f>
        <v/>
      </c>
      <c r="B24" s="189">
        <f>HYPERLINK("#'E M ANTÔNIO LEITE GARCIA'!A1",'E M ANTÔNIO LEITE GARCIA'!B2)</f>
        <v/>
      </c>
      <c r="C24" s="190" t="n"/>
      <c r="D24" s="190" t="n"/>
      <c r="E24" s="190" t="n"/>
      <c r="F24" s="190" t="n"/>
      <c r="G24" s="190" t="n"/>
      <c r="H24" s="190" t="n"/>
      <c r="I24" s="190" t="n"/>
      <c r="J24" s="190" t="n"/>
      <c r="K24" s="190" t="n"/>
      <c r="L24" s="190" t="n"/>
      <c r="M24" s="190" t="n"/>
      <c r="N24" s="190" t="n"/>
      <c r="O24" s="190" t="n"/>
      <c r="P24" s="190" t="n"/>
      <c r="Q24" s="190" t="n"/>
      <c r="R24" s="190" t="n"/>
      <c r="S24" s="323" t="n"/>
      <c r="T24" s="190" t="n"/>
      <c r="U24" s="190" t="n"/>
      <c r="V24" s="162" t="inlineStr">
        <is>
          <t>E M ANTÔNIO LEITE GARCIA</t>
        </is>
      </c>
    </row>
    <row r="25" ht="15" customHeight="1" s="163">
      <c r="A25" s="188">
        <f>'ESCOLA MUNICIPAL JORGE AMADO'!B5</f>
        <v/>
      </c>
      <c r="B25" s="189">
        <f>HYPERLINK("#'ESCOLA MUNICIPAL JORGE AMADO'!A1",'ESCOLA MUNICIPAL JORGE AMADO'!B2)</f>
        <v/>
      </c>
      <c r="C25" s="190" t="n"/>
      <c r="D25" s="190" t="n"/>
      <c r="E25" s="190" t="n"/>
      <c r="F25" s="190" t="n"/>
      <c r="G25" s="190" t="n"/>
      <c r="H25" s="190" t="n"/>
      <c r="I25" s="190" t="n"/>
      <c r="J25" s="190" t="n"/>
      <c r="K25" s="190" t="n"/>
      <c r="L25" s="190" t="n"/>
      <c r="M25" s="190" t="n"/>
      <c r="N25" s="190" t="n"/>
      <c r="O25" s="190" t="n"/>
      <c r="P25" s="190" t="n"/>
      <c r="Q25" s="190" t="n"/>
      <c r="R25" s="190" t="n"/>
      <c r="S25" s="323" t="n"/>
      <c r="T25" s="190" t="n"/>
      <c r="U25" s="190" t="n"/>
      <c r="V25" s="162" t="inlineStr">
        <is>
          <t>ESCOLA MUNICIPAL JORGE AMADO</t>
        </is>
      </c>
    </row>
    <row r="26" ht="15" customHeight="1" s="163">
      <c r="A26" s="188">
        <f>'ESCOLA MUNICIPAL LÚCIA DE ALMEI'!B5</f>
        <v/>
      </c>
      <c r="B26" s="189">
        <f>HYPERLINK("#'ESCOLA MUNICIPAL LÚCIA DE ALMEI'!A1",'ESCOLA MUNICIPAL LÚCIA DE ALMEI'!B2)</f>
        <v/>
      </c>
      <c r="C26" s="190" t="n"/>
      <c r="D26" s="190" t="n"/>
      <c r="E26" s="190" t="n"/>
      <c r="F26" s="190" t="n"/>
      <c r="G26" s="190" t="n"/>
      <c r="H26" s="190" t="n"/>
      <c r="I26" s="190" t="n"/>
      <c r="J26" s="190" t="n"/>
      <c r="K26" s="190" t="n"/>
      <c r="L26" s="190" t="n"/>
      <c r="M26" s="190" t="n"/>
      <c r="N26" s="190" t="n"/>
      <c r="O26" s="190" t="n"/>
      <c r="P26" s="190" t="n"/>
      <c r="Q26" s="190" t="n"/>
      <c r="R26" s="190" t="n"/>
      <c r="S26" s="323" t="n"/>
      <c r="T26" s="190" t="n"/>
      <c r="U26" s="190" t="n"/>
      <c r="V26" s="162" t="inlineStr">
        <is>
          <t>ESCOLA MUNICIPAL LÚCIA DE ALMEI</t>
        </is>
      </c>
    </row>
    <row r="27" ht="15" customHeight="1" s="163">
      <c r="A27" s="188">
        <f>'E M MAGDALENA TAGLIAFERRO'!B5</f>
        <v/>
      </c>
      <c r="B27" s="189">
        <f>HYPERLINK("#'E M MAGDALENA TAGLIAFERRO'!A1",'E M MAGDALENA TAGLIAFERRO'!B2)</f>
        <v/>
      </c>
      <c r="C27" s="190" t="n"/>
      <c r="D27" s="190" t="n"/>
      <c r="E27" s="190" t="n"/>
      <c r="F27" s="190" t="n"/>
      <c r="G27" s="190" t="n"/>
      <c r="H27" s="190" t="n"/>
      <c r="I27" s="190" t="n"/>
      <c r="J27" s="190" t="n"/>
      <c r="K27" s="190" t="n"/>
      <c r="L27" s="190" t="n"/>
      <c r="M27" s="190" t="n"/>
      <c r="N27" s="190" t="n"/>
      <c r="O27" s="190" t="n"/>
      <c r="P27" s="190" t="n"/>
      <c r="Q27" s="190" t="n"/>
      <c r="R27" s="190" t="n"/>
      <c r="S27" s="323" t="n"/>
      <c r="T27" s="190" t="n"/>
      <c r="U27" s="190" t="n"/>
      <c r="V27" s="162" t="inlineStr">
        <is>
          <t>E M MAGDALENA TAGLIAFERRO</t>
        </is>
      </c>
    </row>
    <row r="28" ht="15" customHeight="1" s="163">
      <c r="A28" s="188">
        <f>'ESCOLA MUNICIPAL MAJOR JÚLIO FR'!B5</f>
        <v/>
      </c>
      <c r="B28" s="189">
        <f>HYPERLINK("#'ESCOLA MUNICIPAL MAJOR JÚLIO FR'!A1",'ESCOLA MUNICIPAL MAJOR JÚLIO FR'!B2)</f>
        <v/>
      </c>
      <c r="C28" s="190" t="n"/>
      <c r="D28" s="190" t="n"/>
      <c r="E28" s="190" t="n"/>
      <c r="F28" s="190" t="n"/>
      <c r="G28" s="190" t="n"/>
      <c r="H28" s="190" t="n"/>
      <c r="I28" s="190" t="n"/>
      <c r="J28" s="190" t="n"/>
      <c r="K28" s="190" t="n"/>
      <c r="L28" s="190" t="n"/>
      <c r="M28" s="190" t="n"/>
      <c r="N28" s="190" t="n"/>
      <c r="O28" s="190" t="n"/>
      <c r="P28" s="190" t="n"/>
      <c r="Q28" s="190" t="n"/>
      <c r="R28" s="190" t="n"/>
      <c r="S28" s="323" t="n"/>
      <c r="T28" s="190" t="n"/>
      <c r="U28" s="190" t="n"/>
      <c r="V28" s="162" t="inlineStr">
        <is>
          <t>ESCOLA MUNICIPAL MAJOR JÚLIO FR</t>
        </is>
      </c>
    </row>
    <row r="29" ht="15" customHeight="1" s="163">
      <c r="A29" s="188">
        <f>'E M MARIETA GONÇALVES'!B5</f>
        <v/>
      </c>
      <c r="B29" s="189">
        <f>HYPERLINK("#'E M MARIETA GONÇALVES'!A1",'E M MARIETA GONÇALVES'!B2)</f>
        <v/>
      </c>
      <c r="C29" s="190" t="n"/>
      <c r="D29" s="190" t="n"/>
      <c r="E29" s="190" t="n"/>
      <c r="F29" s="190" t="n"/>
      <c r="G29" s="190" t="n"/>
      <c r="H29" s="190" t="n"/>
      <c r="I29" s="190" t="n"/>
      <c r="J29" s="190" t="n"/>
      <c r="K29" s="190" t="n"/>
      <c r="L29" s="190" t="n"/>
      <c r="M29" s="190" t="n"/>
      <c r="N29" s="190" t="n"/>
      <c r="O29" s="190" t="n"/>
      <c r="P29" s="190" t="n"/>
      <c r="Q29" s="190" t="n"/>
      <c r="R29" s="190" t="n"/>
      <c r="S29" s="323" t="n"/>
      <c r="T29" s="190" t="n"/>
      <c r="U29" s="190" t="n"/>
      <c r="V29" s="162" t="inlineStr">
        <is>
          <t>E M MARIETA GONÇALVES</t>
        </is>
      </c>
    </row>
    <row r="30" ht="15" customHeight="1" s="163">
      <c r="A30" s="188">
        <f>'ESCOLA MUNICIPAL ODETTE YOUNG M'!B5</f>
        <v/>
      </c>
      <c r="B30" s="189">
        <f>HYPERLINK("#'ESCOLA MUNICIPAL ODETTE YOUNG M'!A1",'ESCOLA MUNICIPAL ODETTE YOUNG M'!B2)</f>
        <v/>
      </c>
      <c r="C30" s="190" t="n"/>
      <c r="D30" s="190" t="n"/>
      <c r="E30" s="190" t="n"/>
      <c r="F30" s="190" t="n"/>
      <c r="G30" s="190" t="n"/>
      <c r="H30" s="190" t="n"/>
      <c r="I30" s="190" t="n"/>
      <c r="J30" s="190" t="n"/>
      <c r="K30" s="190" t="n"/>
      <c r="L30" s="190" t="n"/>
      <c r="M30" s="190" t="n"/>
      <c r="N30" s="190" t="n"/>
      <c r="O30" s="190" t="n"/>
      <c r="P30" s="190" t="n"/>
      <c r="Q30" s="190" t="n"/>
      <c r="R30" s="190" t="n"/>
      <c r="S30" s="323" t="n"/>
      <c r="T30" s="190" t="n"/>
      <c r="U30" s="190" t="n"/>
      <c r="V30" s="162" t="inlineStr">
        <is>
          <t>ESCOLA MUNICIPAL ODETTE YOUNG M</t>
        </is>
      </c>
    </row>
    <row r="31" ht="15" customHeight="1" s="163">
      <c r="A31" s="188">
        <f>'E M FÁBRICA DO SABER'!B5</f>
        <v/>
      </c>
      <c r="B31" s="189">
        <f>HYPERLINK("#'E M FÁBRICA DO SABER'!A1",'E M FÁBRICA DO SABER'!B2)</f>
        <v/>
      </c>
      <c r="C31" s="190" t="n"/>
      <c r="D31" s="190" t="n"/>
      <c r="E31" s="190" t="n"/>
      <c r="F31" s="190" t="n"/>
      <c r="G31" s="190" t="n"/>
      <c r="H31" s="190" t="n"/>
      <c r="I31" s="190" t="n"/>
      <c r="J31" s="190" t="n"/>
      <c r="K31" s="190" t="n"/>
      <c r="L31" s="190" t="n"/>
      <c r="M31" s="190" t="n"/>
      <c r="N31" s="190" t="n"/>
      <c r="O31" s="190" t="n"/>
      <c r="P31" s="190" t="n"/>
      <c r="Q31" s="190" t="n"/>
      <c r="R31" s="190" t="n"/>
      <c r="S31" s="323" t="n"/>
      <c r="T31" s="190" t="n"/>
      <c r="U31" s="190" t="n"/>
      <c r="V31" s="162" t="inlineStr">
        <is>
          <t>E M FÁBRICA DO SABER</t>
        </is>
      </c>
    </row>
    <row r="32" ht="15" customHeight="1" s="163">
      <c r="A32" s="188">
        <f>'ESCOLA MUNICIPAL PROFESSOR PAUL'!B5</f>
        <v/>
      </c>
      <c r="B32" s="189">
        <f>HYPERLINK("#'ESCOLA MUNICIPAL PROFESSOR PAUL'!A1",'ESCOLA MUNICIPAL PROFESSOR PAUL'!B2)</f>
        <v/>
      </c>
      <c r="C32" s="190" t="n"/>
      <c r="D32" s="190" t="n"/>
      <c r="E32" s="190" t="n"/>
      <c r="F32" s="190" t="n"/>
      <c r="G32" s="190" t="n"/>
      <c r="H32" s="190" t="n"/>
      <c r="I32" s="190" t="n"/>
      <c r="J32" s="190" t="n"/>
      <c r="K32" s="190" t="n"/>
      <c r="L32" s="190" t="n"/>
      <c r="M32" s="190" t="n"/>
      <c r="N32" s="190" t="n"/>
      <c r="O32" s="190" t="n"/>
      <c r="P32" s="190" t="n"/>
      <c r="Q32" s="190" t="n"/>
      <c r="R32" s="190" t="n"/>
      <c r="S32" s="323" t="n"/>
      <c r="T32" s="190" t="n"/>
      <c r="U32" s="190" t="n"/>
      <c r="V32" s="162" t="inlineStr">
        <is>
          <t>ESCOLA MUNICIPAL PROFESSOR PAUL</t>
        </is>
      </c>
    </row>
    <row r="33" ht="15" customHeight="1" s="163">
      <c r="A33" s="188">
        <f>'E M ROSEMIRA DE OLIVEIRA CAVALC'!B5</f>
        <v/>
      </c>
      <c r="B33" s="189">
        <f>HYPERLINK("#'E M ROSEMIRA DE OLIVEIRA CAVALC'!A1",'E M ROSEMIRA DE OLIVEIRA CAVALC'!B2)</f>
        <v/>
      </c>
      <c r="C33" s="190" t="n"/>
      <c r="D33" s="190" t="n"/>
      <c r="E33" s="190" t="n"/>
      <c r="F33" s="190" t="n"/>
      <c r="G33" s="190" t="n"/>
      <c r="H33" s="190" t="n"/>
      <c r="I33" s="190" t="n"/>
      <c r="J33" s="190" t="n"/>
      <c r="K33" s="190" t="n"/>
      <c r="L33" s="190" t="n"/>
      <c r="M33" s="190" t="n"/>
      <c r="N33" s="190" t="n"/>
      <c r="O33" s="190" t="n"/>
      <c r="P33" s="190" t="n"/>
      <c r="Q33" s="190" t="n"/>
      <c r="R33" s="190" t="n"/>
      <c r="S33" s="323" t="n"/>
      <c r="T33" s="190" t="n"/>
      <c r="U33" s="190" t="n"/>
      <c r="V33" s="162" t="inlineStr">
        <is>
          <t>E M ROSEMIRA DE OLIVEIRA CAVALC</t>
        </is>
      </c>
    </row>
    <row r="34" ht="15" customHeight="1" s="163">
      <c r="A34" s="188">
        <f>'E M AMÉLIA ANTUNES RABELLO'!B5</f>
        <v/>
      </c>
      <c r="B34" s="189">
        <f>HYPERLINK("#'E M AMÉLIA ANTUNES RABELLO'!A1",'E M AMÉLIA ANTUNES RABELLO'!B2)</f>
        <v/>
      </c>
      <c r="C34" s="190" t="n"/>
      <c r="D34" s="190" t="n"/>
      <c r="E34" s="190" t="n"/>
      <c r="F34" s="190" t="n"/>
      <c r="G34" s="190" t="n"/>
      <c r="H34" s="190" t="n"/>
      <c r="I34" s="190" t="n"/>
      <c r="J34" s="190" t="n"/>
      <c r="K34" s="190" t="n"/>
      <c r="L34" s="190" t="n"/>
      <c r="M34" s="190" t="n"/>
      <c r="N34" s="190" t="n"/>
      <c r="O34" s="190" t="n"/>
      <c r="P34" s="190" t="n"/>
      <c r="Q34" s="190" t="n"/>
      <c r="R34" s="190" t="n"/>
      <c r="S34" s="323" t="n"/>
      <c r="T34" s="190" t="n"/>
      <c r="U34" s="190" t="n"/>
      <c r="V34" s="162" t="inlineStr">
        <is>
          <t>E M AMÉLIA ANTUNES RABELLO</t>
        </is>
      </c>
    </row>
    <row r="35" ht="15" customHeight="1" s="163">
      <c r="A35" s="188">
        <f>'ESCOLA MUNICIPAL AUGUSTO PUGNAL'!B5</f>
        <v/>
      </c>
      <c r="B35" s="189">
        <f>HYPERLINK("#'ESCOLA MUNICIPAL AUGUSTO PUGNAL'!A1",'ESCOLA MUNICIPAL AUGUSTO PUGNAL'!B2)</f>
        <v/>
      </c>
      <c r="C35" s="190" t="n"/>
      <c r="D35" s="190" t="n"/>
      <c r="E35" s="190" t="n"/>
      <c r="F35" s="190" t="n"/>
      <c r="G35" s="190" t="n"/>
      <c r="H35" s="190" t="n"/>
      <c r="I35" s="190" t="n"/>
      <c r="J35" s="190" t="n"/>
      <c r="K35" s="190" t="n"/>
      <c r="L35" s="190" t="n"/>
      <c r="M35" s="190" t="n"/>
      <c r="N35" s="190" t="n"/>
      <c r="O35" s="190" t="n"/>
      <c r="P35" s="190" t="n"/>
      <c r="Q35" s="190" t="n"/>
      <c r="R35" s="190" t="n"/>
      <c r="S35" s="323" t="n"/>
      <c r="T35" s="190" t="n"/>
      <c r="U35" s="190" t="n"/>
      <c r="V35" s="162" t="inlineStr">
        <is>
          <t>ESCOLA MUNICIPAL AUGUSTO PUGNAL</t>
        </is>
      </c>
    </row>
    <row r="36" ht="15" customHeight="1" s="163">
      <c r="A36" s="188">
        <f>'ESCOLA MUNICIPAL CELINA SCHECHN'!B5</f>
        <v/>
      </c>
      <c r="B36" s="189">
        <f>HYPERLINK("#'ESCOLA MUNICIPAL CELINA SCHECHN'!A1",'ESCOLA MUNICIPAL CELINA SCHECHN'!B2)</f>
        <v/>
      </c>
      <c r="C36" s="190" t="n"/>
      <c r="D36" s="190" t="n"/>
      <c r="E36" s="190" t="n"/>
      <c r="F36" s="190" t="n"/>
      <c r="G36" s="190" t="n"/>
      <c r="H36" s="190" t="n"/>
      <c r="I36" s="190" t="n"/>
      <c r="J36" s="190" t="n"/>
      <c r="K36" s="190" t="n"/>
      <c r="L36" s="190" t="n"/>
      <c r="M36" s="190" t="n"/>
      <c r="N36" s="190" t="n"/>
      <c r="O36" s="190" t="n"/>
      <c r="P36" s="190" t="n"/>
      <c r="Q36" s="190" t="n"/>
      <c r="R36" s="190" t="n"/>
      <c r="S36" s="323" t="n"/>
      <c r="T36" s="190" t="n"/>
      <c r="U36" s="190" t="n"/>
      <c r="V36" s="162" t="inlineStr">
        <is>
          <t>ESCOLA MUNICIPAL CELINA SCHECHN</t>
        </is>
      </c>
    </row>
    <row r="37" ht="15" customHeight="1" s="163">
      <c r="A37" s="188">
        <f>'E M DARCY CORREA DA VEIGA'!B5</f>
        <v/>
      </c>
      <c r="B37" s="189">
        <f>HYPERLINK("#'E M DARCY CORREA DA VEIGA'!A1",'E M DARCY CORREA DA VEIGA'!B2)</f>
        <v/>
      </c>
      <c r="C37" s="190" t="n"/>
      <c r="D37" s="190" t="n"/>
      <c r="E37" s="190" t="n"/>
      <c r="F37" s="190" t="n"/>
      <c r="G37" s="190" t="n"/>
      <c r="H37" s="190" t="n"/>
      <c r="I37" s="190" t="n"/>
      <c r="J37" s="190" t="n"/>
      <c r="K37" s="190" t="n"/>
      <c r="L37" s="190" t="n"/>
      <c r="M37" s="190" t="n"/>
      <c r="N37" s="190" t="n"/>
      <c r="O37" s="190" t="n"/>
      <c r="P37" s="190" t="n"/>
      <c r="Q37" s="190" t="n"/>
      <c r="R37" s="190" t="n"/>
      <c r="S37" s="323" t="n"/>
      <c r="T37" s="190" t="n"/>
      <c r="U37" s="190" t="n"/>
      <c r="V37" s="162" t="inlineStr">
        <is>
          <t>E M DARCY CORREA DA VEIGA</t>
        </is>
      </c>
    </row>
    <row r="38" ht="15" customHeight="1" s="163">
      <c r="A38" s="188">
        <f>'E M DR PAULA BUARQUE'!B5</f>
        <v/>
      </c>
      <c r="B38" s="189">
        <f>HYPERLINK("#'E M DR PAULA BUARQUE'!A1",'E M DR PAULA BUARQUE'!B2)</f>
        <v/>
      </c>
      <c r="C38" s="190" t="n"/>
      <c r="D38" s="190" t="n"/>
      <c r="E38" s="190" t="n"/>
      <c r="F38" s="190" t="n"/>
      <c r="G38" s="190" t="n"/>
      <c r="H38" s="190" t="n"/>
      <c r="I38" s="190" t="n"/>
      <c r="J38" s="190" t="n"/>
      <c r="K38" s="190" t="n"/>
      <c r="L38" s="190" t="n"/>
      <c r="M38" s="190" t="n"/>
      <c r="N38" s="190" t="n"/>
      <c r="O38" s="190" t="n"/>
      <c r="P38" s="190" t="n"/>
      <c r="Q38" s="190" t="n"/>
      <c r="R38" s="190" t="n"/>
      <c r="S38" s="323" t="n"/>
      <c r="T38" s="190" t="n"/>
      <c r="U38" s="190" t="n"/>
      <c r="V38" s="162" t="inlineStr">
        <is>
          <t>E M DR PAULA BUARQUE</t>
        </is>
      </c>
    </row>
    <row r="39" ht="15" customHeight="1" s="163">
      <c r="A39" s="188">
        <f>'E M DR THEODORO MACHADO'!B5</f>
        <v/>
      </c>
      <c r="B39" s="189">
        <f>HYPERLINK("#'E M DR THEODORO MACHADO'!A1",'E M DR THEODORO MACHADO'!B2)</f>
        <v/>
      </c>
      <c r="C39" s="190" t="n"/>
      <c r="D39" s="190" t="n"/>
      <c r="E39" s="190" t="n"/>
      <c r="F39" s="190" t="n"/>
      <c r="G39" s="190" t="n"/>
      <c r="H39" s="190" t="n"/>
      <c r="I39" s="190" t="n"/>
      <c r="J39" s="190" t="n"/>
      <c r="K39" s="190" t="n"/>
      <c r="L39" s="190" t="n"/>
      <c r="M39" s="190" t="n"/>
      <c r="N39" s="190" t="n"/>
      <c r="O39" s="190" t="n"/>
      <c r="P39" s="190" t="n"/>
      <c r="Q39" s="190" t="n"/>
      <c r="R39" s="190" t="n"/>
      <c r="S39" s="323" t="n"/>
      <c r="T39" s="190" t="n"/>
      <c r="U39" s="190" t="n"/>
      <c r="V39" s="162" t="inlineStr">
        <is>
          <t>E M DR THEODORO MACHADO</t>
        </is>
      </c>
    </row>
    <row r="40" ht="15" customHeight="1" s="163">
      <c r="A40" s="188">
        <f>'E M ARNALDO DYCKERHOFF'!B5</f>
        <v/>
      </c>
      <c r="B40" s="189">
        <f>HYPERLINK("#'E M ARNALDO DYCKERHOFF'!A1",'E M ARNALDO DYCKERHOFF'!B2)</f>
        <v/>
      </c>
      <c r="C40" s="190" t="n"/>
      <c r="D40" s="190" t="n"/>
      <c r="E40" s="190" t="n"/>
      <c r="F40" s="190" t="n"/>
      <c r="G40" s="190" t="n"/>
      <c r="H40" s="190" t="n"/>
      <c r="I40" s="190" t="n"/>
      <c r="J40" s="190" t="n"/>
      <c r="K40" s="190" t="n"/>
      <c r="L40" s="190" t="n"/>
      <c r="M40" s="190" t="n"/>
      <c r="N40" s="190" t="n"/>
      <c r="O40" s="190" t="n"/>
      <c r="P40" s="190" t="n"/>
      <c r="Q40" s="190" t="n"/>
      <c r="R40" s="190" t="n"/>
      <c r="S40" s="323" t="n"/>
      <c r="T40" s="190" t="n"/>
      <c r="U40" s="190" t="n"/>
      <c r="V40" s="162" t="inlineStr">
        <is>
          <t>E M ARNALDO DYCKERHOFF</t>
        </is>
      </c>
    </row>
    <row r="41" ht="15" customHeight="1" s="163">
      <c r="A41" s="188">
        <f>'E M CARLOS CANEDO'!B5</f>
        <v/>
      </c>
      <c r="B41" s="189">
        <f>HYPERLINK("#'E M CARLOS CANEDO'!A1",'E M CARLOS CANEDO'!B2)</f>
        <v/>
      </c>
      <c r="C41" s="190" t="n"/>
      <c r="D41" s="190" t="n"/>
      <c r="E41" s="190" t="n"/>
      <c r="F41" s="190" t="n"/>
      <c r="G41" s="190" t="n"/>
      <c r="H41" s="190" t="n"/>
      <c r="I41" s="190" t="n"/>
      <c r="J41" s="190" t="n"/>
      <c r="K41" s="190" t="n"/>
      <c r="L41" s="190" t="n"/>
      <c r="M41" s="190" t="n"/>
      <c r="N41" s="190" t="n"/>
      <c r="O41" s="190" t="n"/>
      <c r="P41" s="190" t="n"/>
      <c r="Q41" s="190" t="n"/>
      <c r="R41" s="190" t="n"/>
      <c r="S41" s="323" t="n"/>
      <c r="T41" s="190" t="n"/>
      <c r="U41" s="190" t="n"/>
      <c r="V41" s="162" t="inlineStr">
        <is>
          <t>E M CARLOS CANEDO</t>
        </is>
      </c>
    </row>
    <row r="42" ht="15" customHeight="1" s="163">
      <c r="A42" s="188">
        <f>'E M DR BARROS FRANCO'!B5</f>
        <v/>
      </c>
      <c r="B42" s="189">
        <f>HYPERLINK("#'E M DR BARROS FRANCO'!A1",'E M DR BARROS FRANCO'!B2)</f>
        <v/>
      </c>
      <c r="C42" s="190" t="n"/>
      <c r="D42" s="190" t="n"/>
      <c r="E42" s="190" t="n"/>
      <c r="F42" s="190" t="n"/>
      <c r="G42" s="190" t="n"/>
      <c r="H42" s="190" t="n"/>
      <c r="I42" s="190" t="n"/>
      <c r="J42" s="190" t="n"/>
      <c r="K42" s="190" t="n"/>
      <c r="L42" s="190" t="n"/>
      <c r="M42" s="190" t="n"/>
      <c r="N42" s="190" t="n"/>
      <c r="O42" s="190" t="n"/>
      <c r="P42" s="190" t="n"/>
      <c r="Q42" s="190" t="n"/>
      <c r="R42" s="190" t="n"/>
      <c r="S42" s="323" t="n"/>
      <c r="T42" s="190" t="n"/>
      <c r="U42" s="190" t="n"/>
      <c r="V42" s="162" t="inlineStr">
        <is>
          <t>E M DR BARROS FRANCO</t>
        </is>
      </c>
    </row>
    <row r="43" ht="15" customHeight="1" s="163">
      <c r="A43" s="188">
        <f>'E M MAJOR THEÓFILO DE CARVALHO'!B5</f>
        <v/>
      </c>
      <c r="B43" s="189">
        <f>HYPERLINK("#'E M MAJOR THEÓFILO DE CARVALHO'!A1",'E M MAJOR THEÓFILO DE CARVALHO'!B2)</f>
        <v/>
      </c>
      <c r="C43" s="190" t="n"/>
      <c r="D43" s="190" t="n"/>
      <c r="E43" s="190" t="n"/>
      <c r="F43" s="190" t="n"/>
      <c r="G43" s="190" t="n"/>
      <c r="H43" s="190" t="n"/>
      <c r="I43" s="190" t="n"/>
      <c r="J43" s="190" t="n"/>
      <c r="K43" s="190" t="n"/>
      <c r="L43" s="190" t="n"/>
      <c r="M43" s="190" t="n"/>
      <c r="N43" s="190" t="n"/>
      <c r="O43" s="190" t="n"/>
      <c r="P43" s="190" t="n"/>
      <c r="Q43" s="190" t="n"/>
      <c r="R43" s="190" t="n"/>
      <c r="S43" s="323" t="n"/>
      <c r="T43" s="190" t="n"/>
      <c r="U43" s="190" t="n"/>
      <c r="V43" s="162" t="inlineStr">
        <is>
          <t>E M MAJOR THEÓFILO DE CARVALHO</t>
        </is>
      </c>
    </row>
    <row r="44" ht="15" customHeight="1" s="163">
      <c r="A44" s="188">
        <f>'E M TAQUARIL'!B5</f>
        <v/>
      </c>
      <c r="B44" s="189">
        <f>HYPERLINK("#'E M TAQUARIL'!A1",'E M TAQUARIL'!B2)</f>
        <v/>
      </c>
      <c r="C44" s="190" t="n"/>
      <c r="D44" s="190" t="n"/>
      <c r="E44" s="190" t="n"/>
      <c r="F44" s="190" t="n"/>
      <c r="G44" s="190" t="n"/>
      <c r="H44" s="190" t="n"/>
      <c r="I44" s="190" t="n"/>
      <c r="J44" s="190" t="n"/>
      <c r="K44" s="190" t="n"/>
      <c r="L44" s="190" t="n"/>
      <c r="M44" s="190" t="n"/>
      <c r="N44" s="190" t="n"/>
      <c r="O44" s="190" t="n"/>
      <c r="P44" s="190" t="n"/>
      <c r="Q44" s="190" t="n"/>
      <c r="R44" s="190" t="n"/>
      <c r="S44" s="323" t="n"/>
      <c r="T44" s="190" t="n"/>
      <c r="U44" s="190" t="n"/>
      <c r="V44" s="162" t="inlineStr">
        <is>
          <t>E M TAQUARIL</t>
        </is>
      </c>
    </row>
    <row r="45" ht="15" customHeight="1" s="163">
      <c r="A45" s="188">
        <f>'E M BEATRIZ ZALESKI'!B5</f>
        <v/>
      </c>
      <c r="B45" s="189">
        <f>HYPERLINK("#'E M BEATRIZ ZALESKI'!A1",'E M BEATRIZ ZALESKI'!B2)</f>
        <v/>
      </c>
      <c r="C45" s="190" t="n"/>
      <c r="D45" s="190" t="n"/>
      <c r="E45" s="190" t="n"/>
      <c r="F45" s="190" t="n"/>
      <c r="G45" s="190" t="n"/>
      <c r="H45" s="190" t="n"/>
      <c r="I45" s="190" t="n"/>
      <c r="J45" s="190" t="n"/>
      <c r="K45" s="190" t="n"/>
      <c r="L45" s="190" t="n"/>
      <c r="M45" s="190" t="n"/>
      <c r="N45" s="190" t="n"/>
      <c r="O45" s="190" t="n"/>
      <c r="P45" s="190" t="n"/>
      <c r="Q45" s="190" t="n"/>
      <c r="R45" s="190" t="n"/>
      <c r="S45" s="323" t="n"/>
      <c r="T45" s="190" t="n"/>
      <c r="U45" s="190" t="n"/>
      <c r="V45" s="162" t="inlineStr">
        <is>
          <t>E M BEATRIZ ZALESKI</t>
        </is>
      </c>
    </row>
    <row r="46" ht="15" customHeight="1" s="163">
      <c r="A46" s="188">
        <f>'E M ANTÔNIO JOSÉ DE LIMA'!B5</f>
        <v/>
      </c>
      <c r="B46" s="189">
        <f>HYPERLINK("#'E M ANTÔNIO JOSÉ DE LIMA'!A1",'E M ANTÔNIO JOSÉ DE LIMA'!B2)</f>
        <v/>
      </c>
      <c r="C46" s="190" t="n"/>
      <c r="D46" s="190" t="n"/>
      <c r="E46" s="190" t="n"/>
      <c r="F46" s="190" t="n"/>
      <c r="G46" s="190" t="n"/>
      <c r="H46" s="190" t="n"/>
      <c r="I46" s="190" t="n"/>
      <c r="J46" s="190" t="n"/>
      <c r="K46" s="190" t="n"/>
      <c r="L46" s="190" t="n"/>
      <c r="M46" s="190" t="n"/>
      <c r="N46" s="190" t="n"/>
      <c r="O46" s="190" t="n"/>
      <c r="P46" s="190" t="n"/>
      <c r="Q46" s="190" t="n"/>
      <c r="R46" s="190" t="n"/>
      <c r="S46" s="323" t="n"/>
      <c r="T46" s="190" t="n"/>
      <c r="U46" s="190" t="n"/>
      <c r="V46" s="162" t="inlineStr">
        <is>
          <t>E M ANTÔNIO JOSÉ DE LIMA</t>
        </is>
      </c>
    </row>
    <row r="47" ht="15" customHeight="1" s="163">
      <c r="A47" s="188">
        <f>'E M FELIX WAN ERVEN DE BARROS'!B5</f>
        <v/>
      </c>
      <c r="B47" s="189">
        <f>HYPERLINK("#'E M FELIX WAN ERVEN DE BARROS'!A1",'E M FELIX WAN ERVEN DE BARROS'!B2)</f>
        <v/>
      </c>
      <c r="C47" s="190" t="n"/>
      <c r="D47" s="190" t="n"/>
      <c r="E47" s="190" t="n"/>
      <c r="F47" s="190" t="n"/>
      <c r="G47" s="190" t="n"/>
      <c r="H47" s="190" t="n"/>
      <c r="I47" s="190" t="n"/>
      <c r="J47" s="190" t="n"/>
      <c r="K47" s="190" t="n"/>
      <c r="L47" s="190" t="n"/>
      <c r="M47" s="190" t="n"/>
      <c r="N47" s="190" t="n"/>
      <c r="O47" s="190" t="n"/>
      <c r="P47" s="190" t="n"/>
      <c r="Q47" s="190" t="n"/>
      <c r="R47" s="190" t="n"/>
      <c r="S47" s="323" t="n"/>
      <c r="T47" s="190" t="n"/>
      <c r="U47" s="190" t="n"/>
      <c r="V47" s="162" t="inlineStr">
        <is>
          <t>E M FELIX WAN ERVEN DE BARROS</t>
        </is>
      </c>
    </row>
    <row r="48" ht="15" customHeight="1" s="163">
      <c r="A48" s="188">
        <f>'ESCOLA MUNICIPAL HILDEBRANDO DE'!B5</f>
        <v/>
      </c>
      <c r="B48" s="189">
        <f>HYPERLINK("#'ESCOLA MUNICIPAL HILDEBRANDO DE'!A1",'ESCOLA MUNICIPAL HILDEBRANDO DE'!B2)</f>
        <v/>
      </c>
      <c r="C48" s="190" t="n"/>
      <c r="D48" s="190" t="n"/>
      <c r="E48" s="190" t="n"/>
      <c r="F48" s="190" t="n"/>
      <c r="G48" s="190" t="n"/>
      <c r="H48" s="190" t="n"/>
      <c r="I48" s="190" t="n"/>
      <c r="J48" s="190" t="n"/>
      <c r="K48" s="190" t="n"/>
      <c r="L48" s="190" t="n"/>
      <c r="M48" s="190" t="n"/>
      <c r="N48" s="190" t="n"/>
      <c r="O48" s="190" t="n"/>
      <c r="P48" s="190" t="n"/>
      <c r="Q48" s="190" t="n"/>
      <c r="R48" s="190" t="n"/>
      <c r="S48" s="323" t="n"/>
      <c r="T48" s="190" t="n"/>
      <c r="U48" s="190" t="n"/>
      <c r="V48" s="162" t="inlineStr">
        <is>
          <t>ESCOLA MUNICIPAL HILDEBRANDO DE</t>
        </is>
      </c>
    </row>
    <row r="49" ht="15" customHeight="1" s="163">
      <c r="A49" s="188">
        <f>'E M OSWALDO DA COSTA FRIAS'!B5</f>
        <v/>
      </c>
      <c r="B49" s="189">
        <f>HYPERLINK("#'E M OSWALDO DA COSTA FRIAS'!A1",'E M OSWALDO DA COSTA FRIAS'!B2)</f>
        <v/>
      </c>
      <c r="C49" s="190" t="n"/>
      <c r="D49" s="190" t="n"/>
      <c r="E49" s="190" t="n"/>
      <c r="F49" s="190" t="n"/>
      <c r="G49" s="190" t="n"/>
      <c r="H49" s="190" t="n"/>
      <c r="I49" s="190" t="n"/>
      <c r="J49" s="190" t="n"/>
      <c r="K49" s="190" t="n"/>
      <c r="L49" s="190" t="n"/>
      <c r="M49" s="190" t="n"/>
      <c r="N49" s="190" t="n"/>
      <c r="O49" s="190" t="n"/>
      <c r="P49" s="190" t="n"/>
      <c r="Q49" s="190" t="n"/>
      <c r="R49" s="190" t="n"/>
      <c r="S49" s="323" t="n"/>
      <c r="T49" s="190" t="n"/>
      <c r="U49" s="190" t="n"/>
      <c r="V49" s="162" t="inlineStr">
        <is>
          <t>E M OSWALDO DA COSTA FRIAS</t>
        </is>
      </c>
    </row>
    <row r="50" ht="15" customHeight="1" s="163">
      <c r="A50" s="188">
        <f>'E MZDA CARMEM NUNES MARTINS'!B5</f>
        <v/>
      </c>
      <c r="B50" s="189">
        <f>HYPERLINK("#'E MZDA CARMEM NUNES MARTINS'!A1",'E MZDA CARMEM NUNES MARTINS'!B2)</f>
        <v/>
      </c>
      <c r="C50" s="190" t="n"/>
      <c r="D50" s="190" t="n"/>
      <c r="E50" s="190" t="n"/>
      <c r="F50" s="190" t="n"/>
      <c r="G50" s="190" t="n"/>
      <c r="H50" s="190" t="n"/>
      <c r="I50" s="190" t="n"/>
      <c r="J50" s="190" t="n"/>
      <c r="K50" s="190" t="n"/>
      <c r="L50" s="190" t="n"/>
      <c r="M50" s="190" t="n"/>
      <c r="N50" s="190" t="n"/>
      <c r="O50" s="190" t="n"/>
      <c r="P50" s="190" t="n"/>
      <c r="Q50" s="190" t="n"/>
      <c r="R50" s="190" t="n"/>
      <c r="S50" s="323" t="n"/>
      <c r="T50" s="190" t="n"/>
      <c r="U50" s="190" t="n"/>
      <c r="V50" s="162" t="inlineStr">
        <is>
          <t>E MZDA CARMEM NUNES MARTINS</t>
        </is>
      </c>
    </row>
    <row r="51" ht="15" customHeight="1" s="163">
      <c r="A51" s="188">
        <f>'E MZDA AVELINO DE CARVALHO'!B5</f>
        <v/>
      </c>
      <c r="B51" s="189">
        <f>HYPERLINK("#'E MZDA AVELINO DE CARVALHO'!A1",'E MZDA AVELINO DE CARVALHO'!B2)</f>
        <v/>
      </c>
      <c r="C51" s="190" t="n"/>
      <c r="D51" s="190" t="n"/>
      <c r="E51" s="190" t="n"/>
      <c r="F51" s="190" t="n"/>
      <c r="G51" s="190" t="n"/>
      <c r="H51" s="190" t="n"/>
      <c r="I51" s="190" t="n"/>
      <c r="J51" s="190" t="n"/>
      <c r="K51" s="190" t="n"/>
      <c r="L51" s="190" t="n"/>
      <c r="M51" s="190" t="n"/>
      <c r="N51" s="190" t="n"/>
      <c r="O51" s="190" t="n"/>
      <c r="P51" s="190" t="n"/>
      <c r="Q51" s="190" t="n"/>
      <c r="R51" s="190" t="n"/>
      <c r="S51" s="323" t="n"/>
      <c r="T51" s="190" t="n"/>
      <c r="U51" s="190" t="n"/>
      <c r="V51" s="162" t="inlineStr">
        <is>
          <t>E MZDA AVELINO DE CARVALHO</t>
        </is>
      </c>
    </row>
    <row r="52" ht="15" customHeight="1" s="163">
      <c r="A52" s="188">
        <f>'E M GERALDO VENTURA DIAS'!B5</f>
        <v/>
      </c>
      <c r="B52" s="189">
        <f>HYPERLINK("#'E M GERALDO VENTURA DIAS'!A1",'E M GERALDO VENTURA DIAS'!B2)</f>
        <v/>
      </c>
      <c r="C52" s="190" t="n"/>
      <c r="D52" s="190" t="n"/>
      <c r="E52" s="190" t="n"/>
      <c r="F52" s="190" t="n"/>
      <c r="G52" s="190" t="n"/>
      <c r="H52" s="190" t="n"/>
      <c r="I52" s="190" t="n"/>
      <c r="J52" s="190" t="n"/>
      <c r="K52" s="190" t="n"/>
      <c r="L52" s="190" t="n"/>
      <c r="M52" s="190" t="n"/>
      <c r="N52" s="190" t="n"/>
      <c r="O52" s="190" t="n"/>
      <c r="P52" s="190" t="n"/>
      <c r="Q52" s="190" t="n"/>
      <c r="R52" s="190" t="n"/>
      <c r="S52" s="323" t="n"/>
      <c r="T52" s="190" t="n"/>
      <c r="U52" s="190" t="n"/>
      <c r="V52" s="162" t="inlineStr">
        <is>
          <t>E M GERALDO VENTURA DIAS</t>
        </is>
      </c>
    </row>
    <row r="53" ht="15" customHeight="1" s="163">
      <c r="A53" s="188">
        <f>'E M SALVADOR KLING'!B5</f>
        <v/>
      </c>
      <c r="B53" s="189">
        <f>HYPERLINK("#'E M SALVADOR KLING'!A1",'E M SALVADOR KLING'!B2)</f>
        <v/>
      </c>
      <c r="C53" s="190" t="n"/>
      <c r="D53" s="190" t="n"/>
      <c r="E53" s="190" t="n"/>
      <c r="F53" s="190" t="n"/>
      <c r="G53" s="190" t="n"/>
      <c r="H53" s="190" t="n"/>
      <c r="I53" s="190" t="n"/>
      <c r="J53" s="190" t="n"/>
      <c r="K53" s="190" t="n"/>
      <c r="L53" s="190" t="n"/>
      <c r="M53" s="190" t="n"/>
      <c r="N53" s="190" t="n"/>
      <c r="O53" s="190" t="n"/>
      <c r="P53" s="190" t="n"/>
      <c r="Q53" s="190" t="n"/>
      <c r="R53" s="190" t="n"/>
      <c r="S53" s="323" t="n"/>
      <c r="T53" s="190" t="n"/>
      <c r="U53" s="190" t="n"/>
      <c r="V53" s="162" t="inlineStr">
        <is>
          <t>E M SALVADOR KLING</t>
        </is>
      </c>
    </row>
    <row r="54" ht="15" customHeight="1" s="163">
      <c r="A54" s="188">
        <f>'E M PREFEITO JAMIL SABRÁ'!B5</f>
        <v/>
      </c>
      <c r="B54" s="189">
        <f>HYPERLINK("#'E M PREFEITO JAMIL SABRÁ'!A1",'E M PREFEITO JAMIL SABRÁ'!B2)</f>
        <v/>
      </c>
      <c r="C54" s="190" t="n"/>
      <c r="D54" s="190" t="n"/>
      <c r="E54" s="190" t="n"/>
      <c r="F54" s="190" t="n"/>
      <c r="G54" s="190" t="n"/>
      <c r="H54" s="190" t="n"/>
      <c r="I54" s="190" t="n"/>
      <c r="J54" s="190" t="n"/>
      <c r="K54" s="190" t="n"/>
      <c r="L54" s="190" t="n"/>
      <c r="M54" s="190" t="n"/>
      <c r="N54" s="190" t="n"/>
      <c r="O54" s="190" t="n"/>
      <c r="P54" s="190" t="n"/>
      <c r="Q54" s="190" t="n"/>
      <c r="R54" s="190" t="n"/>
      <c r="S54" s="323" t="n"/>
      <c r="T54" s="190" t="n"/>
      <c r="U54" s="190" t="n"/>
      <c r="V54" s="162" t="inlineStr">
        <is>
          <t>E M PREFEITO JAMIL SABRÁ</t>
        </is>
      </c>
    </row>
    <row r="55" ht="15" customHeight="1" s="163">
      <c r="A55" s="188">
        <f>'LICEU MUNICIPAL CARLOS CHAGAS F'!B5</f>
        <v/>
      </c>
      <c r="B55" s="189">
        <f>HYPERLINK("#'LICEU MUNICIPAL CARLOS CHAGAS F'!A1",'LICEU MUNICIPAL CARLOS CHAGAS F'!B2)</f>
        <v/>
      </c>
      <c r="C55" s="190" t="n"/>
      <c r="D55" s="190" t="n"/>
      <c r="E55" s="190" t="n"/>
      <c r="F55" s="190" t="n"/>
      <c r="G55" s="190" t="n"/>
      <c r="H55" s="190" t="n"/>
      <c r="I55" s="190" t="n"/>
      <c r="J55" s="190" t="n"/>
      <c r="K55" s="190" t="n"/>
      <c r="L55" s="190" t="n"/>
      <c r="M55" s="190" t="n"/>
      <c r="N55" s="190" t="n"/>
      <c r="O55" s="190" t="n"/>
      <c r="P55" s="190" t="n"/>
      <c r="Q55" s="190" t="n"/>
      <c r="R55" s="190" t="n"/>
      <c r="S55" s="323" t="n"/>
      <c r="T55" s="190" t="n"/>
      <c r="U55" s="190" t="n"/>
      <c r="V55" s="162" t="inlineStr">
        <is>
          <t>LICEU MUNICIPAL CARLOS CHAGAS F</t>
        </is>
      </c>
    </row>
    <row r="56" ht="15" customHeight="1" s="163">
      <c r="A56" s="188">
        <f>'ESCOLA MUNICIPAL ANA MOHAMMAD'!B5</f>
        <v/>
      </c>
      <c r="B56" s="189">
        <f>HYPERLINK("#'ESCOLA MUNICIPAL ANA MOHAMMAD'!A1",'ESCOLA MUNICIPAL ANA MOHAMMAD'!B2)</f>
        <v/>
      </c>
      <c r="C56" s="190" t="n"/>
      <c r="D56" s="190" t="n"/>
      <c r="E56" s="190" t="n"/>
      <c r="F56" s="190" t="n"/>
      <c r="G56" s="190" t="n"/>
      <c r="H56" s="190" t="n"/>
      <c r="I56" s="190" t="n"/>
      <c r="J56" s="190" t="n"/>
      <c r="K56" s="190" t="n"/>
      <c r="L56" s="190" t="n"/>
      <c r="M56" s="190" t="n"/>
      <c r="N56" s="190" t="n"/>
      <c r="O56" s="190" t="n"/>
      <c r="P56" s="190" t="n"/>
      <c r="Q56" s="190" t="n"/>
      <c r="R56" s="190" t="n"/>
      <c r="S56" s="323" t="n"/>
      <c r="T56" s="190" t="n"/>
      <c r="U56" s="190" t="n"/>
      <c r="V56" s="162" t="inlineStr">
        <is>
          <t>ESCOLA MUNICIPAL ANA MOHAMMAD</t>
        </is>
      </c>
    </row>
    <row r="57" ht="15" customHeight="1" s="163">
      <c r="A57" s="188">
        <f>'ESCOLA MUNICIPAL ALTO INDEPENDÊ'!B5</f>
        <v/>
      </c>
      <c r="B57" s="189">
        <f>HYPERLINK("#'ESCOLA MUNICIPAL ALTO INDEPENDÊ'!A1",'ESCOLA MUNICIPAL ALTO INDEPENDÊ'!B2)</f>
        <v/>
      </c>
      <c r="C57" s="190" t="n"/>
      <c r="D57" s="190" t="n"/>
      <c r="E57" s="190" t="n"/>
      <c r="F57" s="190" t="n"/>
      <c r="G57" s="190" t="n"/>
      <c r="H57" s="190" t="n"/>
      <c r="I57" s="190" t="n"/>
      <c r="J57" s="190" t="n"/>
      <c r="K57" s="190" t="n"/>
      <c r="L57" s="190" t="n"/>
      <c r="M57" s="190" t="n"/>
      <c r="N57" s="190" t="n"/>
      <c r="O57" s="190" t="n"/>
      <c r="P57" s="190" t="n"/>
      <c r="Q57" s="190" t="n"/>
      <c r="R57" s="190" t="n"/>
      <c r="S57" s="323" t="n"/>
      <c r="T57" s="190" t="n"/>
      <c r="U57" s="190" t="n"/>
      <c r="V57" s="162" t="inlineStr">
        <is>
          <t>ESCOLA MUNICIPAL ALTO INDEPENDÊ</t>
        </is>
      </c>
    </row>
    <row r="58" ht="15" customHeight="1" s="163">
      <c r="A58" s="188">
        <f>'E M ALMIRANTE TAMANDARÉ'!B5</f>
        <v/>
      </c>
      <c r="B58" s="189">
        <f>HYPERLINK("#'E M ALMIRANTE TAMANDARÉ'!A1",'E M ALMIRANTE TAMANDARÉ'!B2)</f>
        <v/>
      </c>
      <c r="C58" s="190" t="n"/>
      <c r="D58" s="190" t="n"/>
      <c r="E58" s="190" t="n"/>
      <c r="F58" s="190" t="n"/>
      <c r="G58" s="190" t="n"/>
      <c r="H58" s="190" t="n"/>
      <c r="I58" s="190" t="n"/>
      <c r="J58" s="190" t="n"/>
      <c r="K58" s="190" t="n"/>
      <c r="L58" s="190" t="n"/>
      <c r="M58" s="190" t="n"/>
      <c r="N58" s="190" t="n"/>
      <c r="O58" s="190" t="n"/>
      <c r="P58" s="190" t="n"/>
      <c r="Q58" s="190" t="n"/>
      <c r="R58" s="190" t="n"/>
      <c r="S58" s="323" t="n"/>
      <c r="T58" s="190" t="n"/>
      <c r="U58" s="190" t="n"/>
      <c r="V58" s="162" t="inlineStr">
        <is>
          <t>E M ALMIRANTE TAMANDARÉ</t>
        </is>
      </c>
    </row>
    <row r="59" ht="15" customHeight="1" s="163">
      <c r="A59" s="188">
        <f>'ESCOLA MUNICIPALIZADA FREI ANIC'!B5</f>
        <v/>
      </c>
      <c r="B59" s="189">
        <f>HYPERLINK("#'ESCOLA MUNICIPALIZADA FREI ANIC'!A1",'ESCOLA MUNICIPALIZADA FREI ANIC'!B2)</f>
        <v/>
      </c>
      <c r="C59" s="190" t="n"/>
      <c r="D59" s="190" t="n"/>
      <c r="E59" s="190" t="n"/>
      <c r="F59" s="190" t="n"/>
      <c r="G59" s="190" t="n"/>
      <c r="H59" s="190" t="n"/>
      <c r="I59" s="190" t="n"/>
      <c r="J59" s="190" t="n"/>
      <c r="K59" s="190" t="n"/>
      <c r="L59" s="190" t="n"/>
      <c r="M59" s="190" t="n"/>
      <c r="N59" s="190" t="n"/>
      <c r="O59" s="190" t="n"/>
      <c r="P59" s="190" t="n"/>
      <c r="Q59" s="190" t="n"/>
      <c r="R59" s="190" t="n"/>
      <c r="S59" s="323" t="n"/>
      <c r="T59" s="190" t="n"/>
      <c r="U59" s="190" t="n"/>
      <c r="V59" s="162" t="inlineStr">
        <is>
          <t>ESCOLA MUNICIPALIZADA FREI ANIC</t>
        </is>
      </c>
    </row>
    <row r="60" ht="15" customHeight="1" s="163">
      <c r="A60" s="188">
        <f>'E M PEDRO AMADO'!B5</f>
        <v/>
      </c>
      <c r="B60" s="189">
        <f>HYPERLINK("#'E M PEDRO AMADO'!A1",'E M PEDRO AMADO'!B2)</f>
        <v/>
      </c>
      <c r="C60" s="190" t="n"/>
      <c r="D60" s="190" t="n"/>
      <c r="E60" s="190" t="n"/>
      <c r="F60" s="190" t="n"/>
      <c r="G60" s="190" t="n"/>
      <c r="H60" s="190" t="n"/>
      <c r="I60" s="190" t="n"/>
      <c r="J60" s="190" t="n"/>
      <c r="K60" s="190" t="n"/>
      <c r="L60" s="190" t="n"/>
      <c r="M60" s="190" t="n"/>
      <c r="N60" s="190" t="n"/>
      <c r="O60" s="190" t="n"/>
      <c r="P60" s="190" t="n"/>
      <c r="Q60" s="190" t="n"/>
      <c r="R60" s="190" t="n"/>
      <c r="S60" s="323" t="n"/>
      <c r="T60" s="190" t="n"/>
      <c r="U60" s="190" t="n"/>
      <c r="V60" s="162" t="inlineStr">
        <is>
          <t>E M PEDRO AMADO</t>
        </is>
      </c>
    </row>
    <row r="61" ht="15" customHeight="1" s="163">
      <c r="A61" s="188">
        <f>'E M PROFª MARIA DA GLÓRIA QUEIR'!B5</f>
        <v/>
      </c>
      <c r="B61" s="189">
        <f>HYPERLINK("#'E M PROFª MARIA DA GLÓRIA QUEIR'!A1",'E M PROFª MARIA DA GLÓRIA QUEIR'!B2)</f>
        <v/>
      </c>
      <c r="C61" s="190" t="n"/>
      <c r="D61" s="190" t="n"/>
      <c r="E61" s="190" t="n"/>
      <c r="F61" s="190" t="n"/>
      <c r="G61" s="190" t="n"/>
      <c r="H61" s="190" t="n"/>
      <c r="I61" s="190" t="n"/>
      <c r="J61" s="190" t="n"/>
      <c r="K61" s="190" t="n"/>
      <c r="L61" s="190" t="n"/>
      <c r="M61" s="190" t="n"/>
      <c r="N61" s="190" t="n"/>
      <c r="O61" s="190" t="n"/>
      <c r="P61" s="190" t="n"/>
      <c r="Q61" s="190" t="n"/>
      <c r="R61" s="190" t="n"/>
      <c r="S61" s="323" t="n"/>
      <c r="T61" s="190" t="n"/>
      <c r="U61" s="190" t="n"/>
      <c r="V61" s="162" t="inlineStr">
        <is>
          <t>E M PROFª MARIA DA GLÓRIA QUEIR</t>
        </is>
      </c>
    </row>
    <row r="62" ht="15" customHeight="1" s="163">
      <c r="A62" s="188">
        <f>'E M SEBASTIÃO LACERDA'!B5</f>
        <v/>
      </c>
      <c r="B62" s="189">
        <f>HYPERLINK("#'E M SEBASTIÃO LACERDA'!A1",'E M SEBASTIÃO LACERDA'!B2)</f>
        <v/>
      </c>
      <c r="C62" s="190" t="n"/>
      <c r="D62" s="190" t="n"/>
      <c r="E62" s="190" t="n"/>
      <c r="F62" s="190" t="n"/>
      <c r="G62" s="190" t="n"/>
      <c r="H62" s="190" t="n"/>
      <c r="I62" s="190" t="n"/>
      <c r="J62" s="190" t="n"/>
      <c r="K62" s="190" t="n"/>
      <c r="L62" s="190" t="n"/>
      <c r="M62" s="190" t="n"/>
      <c r="N62" s="190" t="n"/>
      <c r="O62" s="190" t="n"/>
      <c r="P62" s="190" t="n"/>
      <c r="Q62" s="190" t="n"/>
      <c r="R62" s="190" t="n"/>
      <c r="S62" s="323" t="n"/>
      <c r="T62" s="190" t="n"/>
      <c r="U62" s="190" t="n"/>
      <c r="V62" s="162" t="inlineStr">
        <is>
          <t>E M SEBASTIÃO LACERDA</t>
        </is>
      </c>
    </row>
    <row r="63" ht="15" customHeight="1" s="163">
      <c r="A63" s="188">
        <f>'E M PROFESSOR FLÁVIO MACIEL'!B5</f>
        <v/>
      </c>
      <c r="B63" s="189">
        <f>HYPERLINK("#'E M PROFESSOR FLÁVIO MACIEL'!A1",'E M PROFESSOR FLÁVIO MACIEL'!B2)</f>
        <v/>
      </c>
      <c r="C63" s="190" t="n"/>
      <c r="D63" s="190" t="n"/>
      <c r="E63" s="190" t="n"/>
      <c r="F63" s="190" t="n"/>
      <c r="G63" s="190" t="n"/>
      <c r="H63" s="190" t="n"/>
      <c r="I63" s="190" t="n"/>
      <c r="J63" s="190" t="n"/>
      <c r="K63" s="190" t="n"/>
      <c r="L63" s="190" t="n"/>
      <c r="M63" s="190" t="n"/>
      <c r="N63" s="190" t="n"/>
      <c r="O63" s="190" t="n"/>
      <c r="P63" s="190" t="n"/>
      <c r="Q63" s="190" t="n"/>
      <c r="R63" s="190" t="n"/>
      <c r="S63" s="323" t="n"/>
      <c r="T63" s="190" t="n"/>
      <c r="U63" s="190" t="n"/>
      <c r="V63" s="162" t="inlineStr">
        <is>
          <t>E M PROFESSOR FLÁVIO MACIEL</t>
        </is>
      </c>
    </row>
    <row r="64" ht="15" customHeight="1" s="163">
      <c r="A64" s="188">
        <f>'ESCOLA MUNICIPAL PAULO SALDANHA'!B5</f>
        <v/>
      </c>
      <c r="B64" s="189">
        <f>HYPERLINK("#'ESCOLA MUNICIPAL PAULO SALDANHA'!A1",'ESCOLA MUNICIPAL PAULO SALDANHA'!B2)</f>
        <v/>
      </c>
      <c r="C64" s="190" t="n"/>
      <c r="D64" s="190" t="n"/>
      <c r="E64" s="190" t="n"/>
      <c r="F64" s="190" t="n"/>
      <c r="G64" s="190" t="n"/>
      <c r="H64" s="190" t="n"/>
      <c r="I64" s="190" t="n"/>
      <c r="J64" s="190" t="n"/>
      <c r="K64" s="190" t="n"/>
      <c r="L64" s="190" t="n"/>
      <c r="M64" s="190" t="n"/>
      <c r="N64" s="190" t="n"/>
      <c r="O64" s="190" t="n"/>
      <c r="P64" s="190" t="n"/>
      <c r="Q64" s="190" t="n"/>
      <c r="R64" s="190" t="n"/>
      <c r="S64" s="323" t="n"/>
      <c r="T64" s="190" t="n"/>
      <c r="U64" s="190" t="n"/>
      <c r="V64" s="162" t="inlineStr">
        <is>
          <t>ESCOLA MUNICIPAL PAULO SALDANHA</t>
        </is>
      </c>
    </row>
    <row r="65" ht="15" customHeight="1" s="163">
      <c r="A65" s="188">
        <f>'ESCOLA MUNICIPAL PROFESSOR JOSE'!B5</f>
        <v/>
      </c>
      <c r="B65" s="189">
        <f>HYPERLINK("#'ESCOLA MUNICIPAL PROFESSOR JOSE'!A1",'ESCOLA MUNICIPAL PROFESSOR JOSE'!B2)</f>
        <v/>
      </c>
      <c r="C65" s="190" t="n"/>
      <c r="D65" s="190" t="n"/>
      <c r="E65" s="190" t="n"/>
      <c r="F65" s="190" t="n"/>
      <c r="G65" s="190" t="n"/>
      <c r="H65" s="190" t="n"/>
      <c r="I65" s="190" t="n"/>
      <c r="J65" s="190" t="n"/>
      <c r="K65" s="190" t="n"/>
      <c r="L65" s="190" t="n"/>
      <c r="M65" s="190" t="n"/>
      <c r="N65" s="190" t="n"/>
      <c r="O65" s="190" t="n"/>
      <c r="P65" s="190" t="n"/>
      <c r="Q65" s="190" t="n"/>
      <c r="R65" s="190" t="n"/>
      <c r="S65" s="323" t="n"/>
      <c r="T65" s="190" t="n"/>
      <c r="U65" s="190" t="n"/>
      <c r="V65" s="162" t="inlineStr">
        <is>
          <t>ESCOLA MUNICIPAL PROFESSOR JOSE</t>
        </is>
      </c>
    </row>
    <row r="66" ht="15" customHeight="1" s="163">
      <c r="A66" s="188">
        <f>'E M MONSENHOR CIRILLO CALAON'!B5</f>
        <v/>
      </c>
      <c r="B66" s="189">
        <f>HYPERLINK("#'E M MONSENHOR CIRILLO CALAON'!A1",'E M MONSENHOR CIRILLO CALAON'!B2)</f>
        <v/>
      </c>
      <c r="C66" s="190" t="n"/>
      <c r="D66" s="190" t="n"/>
      <c r="E66" s="190" t="n"/>
      <c r="F66" s="190" t="n"/>
      <c r="G66" s="190" t="n"/>
      <c r="H66" s="190" t="n"/>
      <c r="I66" s="190" t="n"/>
      <c r="J66" s="190" t="n"/>
      <c r="K66" s="190" t="n"/>
      <c r="L66" s="190" t="n"/>
      <c r="M66" s="190" t="n"/>
      <c r="N66" s="190" t="n"/>
      <c r="O66" s="190" t="n"/>
      <c r="P66" s="190" t="n"/>
      <c r="Q66" s="190" t="n"/>
      <c r="R66" s="190" t="n"/>
      <c r="S66" s="323" t="n"/>
      <c r="T66" s="190" t="n"/>
      <c r="U66" s="190" t="n"/>
      <c r="V66" s="162" t="inlineStr">
        <is>
          <t>E M MONSENHOR CIRILLO CALAON</t>
        </is>
      </c>
    </row>
    <row r="67" ht="15" customHeight="1" s="163">
      <c r="A67" s="188">
        <f>'E M AMÉRICO FERNANDES RIBEIRO'!B5</f>
        <v/>
      </c>
      <c r="B67" s="189">
        <f>HYPERLINK("#'E M AMÉRICO FERNANDES RIBEIRO'!A1",'E M AMÉRICO FERNANDES RIBEIRO'!B2)</f>
        <v/>
      </c>
      <c r="C67" s="190" t="n"/>
      <c r="D67" s="190" t="n"/>
      <c r="E67" s="190" t="n"/>
      <c r="F67" s="190" t="n"/>
      <c r="G67" s="190" t="n"/>
      <c r="H67" s="190" t="n"/>
      <c r="I67" s="190" t="n"/>
      <c r="J67" s="190" t="n"/>
      <c r="K67" s="190" t="n"/>
      <c r="L67" s="190" t="n"/>
      <c r="M67" s="190" t="n"/>
      <c r="N67" s="190" t="n"/>
      <c r="O67" s="190" t="n"/>
      <c r="P67" s="190" t="n"/>
      <c r="Q67" s="190" t="n"/>
      <c r="R67" s="190" t="n"/>
      <c r="S67" s="323" t="n"/>
      <c r="T67" s="190" t="n"/>
      <c r="U67" s="190" t="n"/>
      <c r="V67" s="162" t="inlineStr">
        <is>
          <t>E M AMÉRICO FERNANDES RIBEIRO</t>
        </is>
      </c>
    </row>
    <row r="68" ht="15" customHeight="1" s="163">
      <c r="A68" s="188">
        <f>'E M PROFª JANDIRA PEIXOTO BORDI'!B5</f>
        <v/>
      </c>
      <c r="B68" s="189">
        <f>HYPERLINK("#'E M PROFª JANDIRA PEIXOTO BORDI'!A1",'E M PROFª JANDIRA PEIXOTO BORDI'!B2)</f>
        <v/>
      </c>
      <c r="C68" s="190" t="n"/>
      <c r="D68" s="190" t="n"/>
      <c r="E68" s="190" t="n"/>
      <c r="F68" s="190" t="n"/>
      <c r="G68" s="190" t="n"/>
      <c r="H68" s="190" t="n"/>
      <c r="I68" s="190" t="n"/>
      <c r="J68" s="190" t="n"/>
      <c r="K68" s="190" t="n"/>
      <c r="L68" s="190" t="n"/>
      <c r="M68" s="190" t="n"/>
      <c r="N68" s="190" t="n"/>
      <c r="O68" s="190" t="n"/>
      <c r="P68" s="190" t="n"/>
      <c r="Q68" s="190" t="n"/>
      <c r="R68" s="190" t="n"/>
      <c r="S68" s="323" t="n"/>
      <c r="T68" s="190" t="n"/>
      <c r="U68" s="190" t="n"/>
      <c r="V68" s="162" t="inlineStr">
        <is>
          <t>E M PROFª JANDIRA PEIXOTO BORDI</t>
        </is>
      </c>
    </row>
    <row r="69" ht="15" customHeight="1" s="163">
      <c r="A69" s="188">
        <f>'E M MONSENHOR JOÃO DE DEUS RODR'!B5</f>
        <v/>
      </c>
      <c r="B69" s="189">
        <f>HYPERLINK("#'E M MONSENHOR JOÃO DE DEUS RODR'!A1",'E M MONSENHOR JOÃO DE DEUS RODR'!B2)</f>
        <v/>
      </c>
      <c r="C69" s="190" t="n"/>
      <c r="D69" s="190" t="n"/>
      <c r="E69" s="190" t="n"/>
      <c r="F69" s="190" t="n"/>
      <c r="G69" s="190" t="n"/>
      <c r="H69" s="190" t="n"/>
      <c r="I69" s="190" t="n"/>
      <c r="J69" s="190" t="n"/>
      <c r="K69" s="190" t="n"/>
      <c r="L69" s="190" t="n"/>
      <c r="M69" s="190" t="n"/>
      <c r="N69" s="190" t="n"/>
      <c r="O69" s="190" t="n"/>
      <c r="P69" s="190" t="n"/>
      <c r="Q69" s="190" t="n"/>
      <c r="R69" s="190" t="n"/>
      <c r="S69" s="323" t="n"/>
      <c r="T69" s="190" t="n"/>
      <c r="U69" s="190" t="n"/>
      <c r="V69" s="162" t="inlineStr">
        <is>
          <t>E M MONSENHOR JOÃO DE DEUS RODR</t>
        </is>
      </c>
    </row>
    <row r="70" ht="15" customHeight="1" s="163">
      <c r="A70" s="188">
        <f>'E M DOM MANOEL PEDRO DA CUNHA C'!B5</f>
        <v/>
      </c>
      <c r="B70" s="189">
        <f>HYPERLINK("#'E M DOM MANOEL PEDRO DA CUNHA C'!A1",'E M DOM MANOEL PEDRO DA CUNHA C'!B2)</f>
        <v/>
      </c>
      <c r="C70" s="190" t="n"/>
      <c r="D70" s="190" t="n"/>
      <c r="E70" s="190" t="n"/>
      <c r="F70" s="190" t="n"/>
      <c r="G70" s="190" t="n"/>
      <c r="H70" s="190" t="n"/>
      <c r="I70" s="190" t="n"/>
      <c r="J70" s="190" t="n"/>
      <c r="K70" s="190" t="n"/>
      <c r="L70" s="190" t="n"/>
      <c r="M70" s="190" t="n"/>
      <c r="N70" s="190" t="n"/>
      <c r="O70" s="190" t="n"/>
      <c r="P70" s="190" t="n"/>
      <c r="Q70" s="190" t="n"/>
      <c r="R70" s="190" t="n"/>
      <c r="S70" s="323" t="n"/>
      <c r="T70" s="190" t="n"/>
      <c r="U70" s="190" t="n"/>
      <c r="V70" s="162" t="inlineStr">
        <is>
          <t>E M DOM MANOEL PEDRO DA CUNHA C</t>
        </is>
      </c>
    </row>
    <row r="71" ht="15" customHeight="1" s="163">
      <c r="A71" s="188">
        <f>'E M JOHANN NOEL'!B5</f>
        <v/>
      </c>
      <c r="B71" s="189">
        <f>HYPERLINK("#'E M JOHANN NOEL'!A1",'E M JOHANN NOEL'!B2)</f>
        <v/>
      </c>
      <c r="C71" s="190" t="n"/>
      <c r="D71" s="190" t="n"/>
      <c r="E71" s="190" t="n"/>
      <c r="F71" s="190" t="n"/>
      <c r="G71" s="190" t="n"/>
      <c r="H71" s="190" t="n"/>
      <c r="I71" s="190" t="n"/>
      <c r="J71" s="190" t="n"/>
      <c r="K71" s="190" t="n"/>
      <c r="L71" s="190" t="n"/>
      <c r="M71" s="190" t="n"/>
      <c r="N71" s="190" t="n"/>
      <c r="O71" s="190" t="n"/>
      <c r="P71" s="190" t="n"/>
      <c r="Q71" s="190" t="n"/>
      <c r="R71" s="190" t="n"/>
      <c r="S71" s="323" t="n"/>
      <c r="T71" s="190" t="n"/>
      <c r="U71" s="190" t="n"/>
      <c r="V71" s="162" t="inlineStr">
        <is>
          <t>E M JOHANN NOEL</t>
        </is>
      </c>
    </row>
    <row r="72" ht="15" customHeight="1" s="163">
      <c r="A72" s="188">
        <f>'E MZDA SANTA TEREZINHA'!B5</f>
        <v/>
      </c>
      <c r="B72" s="189">
        <f>HYPERLINK("#'E MZDA SANTA TEREZINHA'!A1",'E MZDA SANTA TEREZINHA'!B2)</f>
        <v/>
      </c>
      <c r="C72" s="190" t="n"/>
      <c r="D72" s="190" t="n"/>
      <c r="E72" s="190" t="n"/>
      <c r="F72" s="190" t="n"/>
      <c r="G72" s="190" t="n"/>
      <c r="H72" s="190" t="n"/>
      <c r="I72" s="190" t="n"/>
      <c r="J72" s="190" t="n"/>
      <c r="K72" s="190" t="n"/>
      <c r="L72" s="190" t="n"/>
      <c r="M72" s="190" t="n"/>
      <c r="N72" s="190" t="n"/>
      <c r="O72" s="190" t="n"/>
      <c r="P72" s="190" t="n"/>
      <c r="Q72" s="190" t="n"/>
      <c r="R72" s="190" t="n"/>
      <c r="S72" s="323" t="n"/>
      <c r="T72" s="190" t="n"/>
      <c r="U72" s="190" t="n"/>
      <c r="V72" s="162" t="inlineStr">
        <is>
          <t>E MZDA SANTA TEREZINHA</t>
        </is>
      </c>
    </row>
    <row r="73" ht="15" customHeight="1" s="163">
      <c r="A73" s="188">
        <f>'E M PAPA JOÃO PAULO II'!B5</f>
        <v/>
      </c>
      <c r="B73" s="189">
        <f>HYPERLINK("#'E M PAPA JOÃO PAULO II'!A1",'E M PAPA JOÃO PAULO II'!B2)</f>
        <v/>
      </c>
      <c r="C73" s="190" t="n"/>
      <c r="D73" s="190" t="n"/>
      <c r="E73" s="190" t="n"/>
      <c r="F73" s="190" t="n"/>
      <c r="G73" s="190" t="n"/>
      <c r="H73" s="190" t="n"/>
      <c r="I73" s="190" t="n"/>
      <c r="J73" s="190" t="n"/>
      <c r="K73" s="190" t="n"/>
      <c r="L73" s="190" t="n"/>
      <c r="M73" s="190" t="n"/>
      <c r="N73" s="190" t="n"/>
      <c r="O73" s="190" t="n"/>
      <c r="P73" s="190" t="n"/>
      <c r="Q73" s="190" t="n"/>
      <c r="R73" s="190" t="n"/>
      <c r="S73" s="323" t="n"/>
      <c r="T73" s="190" t="n"/>
      <c r="U73" s="190" t="n"/>
      <c r="V73" s="162" t="inlineStr">
        <is>
          <t>E M PAPA JOÃO PAULO II</t>
        </is>
      </c>
    </row>
    <row r="74" ht="15" customHeight="1" s="163">
      <c r="A74" s="188">
        <f>'E M STEFAN ZWEIG'!B5</f>
        <v/>
      </c>
      <c r="B74" s="189">
        <f>HYPERLINK("#'E M STEFAN ZWEIG'!A1",'E M STEFAN ZWEIG'!B2)</f>
        <v/>
      </c>
      <c r="C74" s="190" t="n"/>
      <c r="D74" s="190" t="n"/>
      <c r="E74" s="190" t="n"/>
      <c r="F74" s="190" t="n"/>
      <c r="G74" s="190" t="n"/>
      <c r="H74" s="190" t="n"/>
      <c r="I74" s="190" t="n"/>
      <c r="J74" s="190" t="n"/>
      <c r="K74" s="190" t="n"/>
      <c r="L74" s="190" t="n"/>
      <c r="M74" s="190" t="n"/>
      <c r="N74" s="190" t="n"/>
      <c r="O74" s="190" t="n"/>
      <c r="P74" s="190" t="n"/>
      <c r="Q74" s="190" t="n"/>
      <c r="R74" s="190" t="n"/>
      <c r="S74" s="323" t="n"/>
      <c r="T74" s="190" t="n"/>
      <c r="U74" s="190" t="n"/>
      <c r="V74" s="162" t="inlineStr">
        <is>
          <t>E M STEFAN ZWEIG</t>
        </is>
      </c>
    </row>
    <row r="75" ht="15" customHeight="1" s="163">
      <c r="A75" s="188">
        <f>'ESCOLA MUNICIPAL SENADOR MARIO '!B5</f>
        <v/>
      </c>
      <c r="B75" s="189">
        <f>HYPERLINK("#'ESCOLA MUNICIPAL SENADOR MARIO '!A1",'ESCOLA MUNICIPAL SENADOR MARIO '!B2)</f>
        <v/>
      </c>
      <c r="C75" s="190" t="n"/>
      <c r="D75" s="190" t="n"/>
      <c r="E75" s="190" t="n"/>
      <c r="F75" s="190" t="n"/>
      <c r="G75" s="190" t="n"/>
      <c r="H75" s="190" t="n"/>
      <c r="I75" s="190" t="n"/>
      <c r="J75" s="190" t="n"/>
      <c r="K75" s="190" t="n"/>
      <c r="L75" s="190" t="n"/>
      <c r="M75" s="190" t="n"/>
      <c r="N75" s="190" t="n"/>
      <c r="O75" s="190" t="n"/>
      <c r="P75" s="190" t="n"/>
      <c r="Q75" s="190" t="n"/>
      <c r="R75" s="190" t="n"/>
      <c r="S75" s="323" t="n"/>
      <c r="T75" s="190" t="n"/>
      <c r="U75" s="190" t="n"/>
      <c r="V75" s="162" t="inlineStr">
        <is>
          <t xml:space="preserve">ESCOLA MUNICIPAL SENADOR MARIO </t>
        </is>
      </c>
    </row>
    <row r="76" ht="15" customHeight="1" s="163">
      <c r="A76" s="188">
        <f>'E M DR RUBENS DE CASTRO BOMTEMP'!B5</f>
        <v/>
      </c>
      <c r="B76" s="189">
        <f>HYPERLINK("#'E M DR RUBENS DE CASTRO BOMTEMP'!A1",'E M DR RUBENS DE CASTRO BOMTEMP'!B2)</f>
        <v/>
      </c>
      <c r="C76" s="190" t="n"/>
      <c r="D76" s="190" t="n"/>
      <c r="E76" s="190" t="n"/>
      <c r="F76" s="190" t="n"/>
      <c r="G76" s="190" t="n"/>
      <c r="H76" s="190" t="n"/>
      <c r="I76" s="190" t="n"/>
      <c r="J76" s="190" t="n"/>
      <c r="K76" s="190" t="n"/>
      <c r="L76" s="190" t="n"/>
      <c r="M76" s="190" t="n"/>
      <c r="N76" s="190" t="n"/>
      <c r="O76" s="190" t="n"/>
      <c r="P76" s="190" t="n"/>
      <c r="Q76" s="190" t="n"/>
      <c r="R76" s="190" t="n"/>
      <c r="S76" s="323" t="n"/>
      <c r="T76" s="190" t="n"/>
      <c r="U76" s="190" t="n"/>
      <c r="V76" s="162" t="inlineStr">
        <is>
          <t>E M DR RUBENS DE CASTRO BOMTEMP</t>
        </is>
      </c>
    </row>
    <row r="77" ht="15" customHeight="1" s="163">
      <c r="A77" s="188">
        <f>'E M PAULO FREIRE'!B5</f>
        <v/>
      </c>
      <c r="B77" s="189">
        <f>HYPERLINK("#'E M PAULO FREIRE'!A1",'E M PAULO FREIRE'!B2)</f>
        <v/>
      </c>
      <c r="C77" s="190" t="n"/>
      <c r="D77" s="190" t="n"/>
      <c r="E77" s="190" t="n"/>
      <c r="F77" s="190" t="n"/>
      <c r="G77" s="190" t="n"/>
      <c r="H77" s="190" t="n"/>
      <c r="I77" s="190" t="n"/>
      <c r="J77" s="190" t="n"/>
      <c r="K77" s="190" t="n"/>
      <c r="L77" s="190" t="n"/>
      <c r="M77" s="190" t="n"/>
      <c r="N77" s="190" t="n"/>
      <c r="O77" s="190" t="n"/>
      <c r="P77" s="190" t="n"/>
      <c r="Q77" s="190" t="n"/>
      <c r="R77" s="190" t="n"/>
      <c r="S77" s="323" t="n"/>
      <c r="T77" s="190" t="n"/>
      <c r="U77" s="190" t="n"/>
      <c r="V77" s="162" t="inlineStr">
        <is>
          <t>E M PAULO FREIRE</t>
        </is>
      </c>
    </row>
    <row r="78" ht="15" customHeight="1" s="163">
      <c r="A78" s="188">
        <f>'E M PROFª MARIA CAMPOS DA SILVA'!B5</f>
        <v/>
      </c>
      <c r="B78" s="189">
        <f>HYPERLINK("#'E M PROFª MARIA CAMPOS DA SILVA'!A1",'E M PROFª MARIA CAMPOS DA SILVA'!B2)</f>
        <v/>
      </c>
      <c r="C78" s="190" t="n"/>
      <c r="D78" s="190" t="n"/>
      <c r="E78" s="190" t="n"/>
      <c r="F78" s="190" t="n"/>
      <c r="G78" s="190" t="n"/>
      <c r="H78" s="190" t="n"/>
      <c r="I78" s="190" t="n"/>
      <c r="J78" s="190" t="n"/>
      <c r="K78" s="190" t="n"/>
      <c r="L78" s="190" t="n"/>
      <c r="M78" s="190" t="n"/>
      <c r="N78" s="190" t="n"/>
      <c r="O78" s="190" t="n"/>
      <c r="P78" s="190" t="n"/>
      <c r="Q78" s="190" t="n"/>
      <c r="R78" s="190" t="n"/>
      <c r="S78" s="323" t="n"/>
      <c r="T78" s="190" t="n"/>
      <c r="U78" s="190" t="n"/>
      <c r="V78" s="162" t="inlineStr">
        <is>
          <t>E M PROFª MARIA CAMPOS DA SILVA</t>
        </is>
      </c>
    </row>
    <row r="79" ht="15" customHeight="1" s="163">
      <c r="A79" s="188">
        <f>'E M HERCÍLIA HENRIQUES MORET'!B5</f>
        <v/>
      </c>
      <c r="B79" s="189">
        <f>HYPERLINK("#'E M HERCÍLIA HENRIQUES MORET'!A1",'E M HERCÍLIA HENRIQUES MORET'!B2)</f>
        <v/>
      </c>
      <c r="C79" s="190" t="n"/>
      <c r="D79" s="190" t="n"/>
      <c r="E79" s="190" t="n"/>
      <c r="F79" s="190" t="n"/>
      <c r="G79" s="190" t="n"/>
      <c r="H79" s="190" t="n"/>
      <c r="I79" s="190" t="n"/>
      <c r="J79" s="190" t="n"/>
      <c r="K79" s="190" t="n"/>
      <c r="L79" s="190" t="n"/>
      <c r="M79" s="190" t="n"/>
      <c r="N79" s="190" t="n"/>
      <c r="O79" s="190" t="n"/>
      <c r="P79" s="190" t="n"/>
      <c r="Q79" s="190" t="n"/>
      <c r="R79" s="190" t="n"/>
      <c r="S79" s="323" t="n"/>
      <c r="T79" s="190" t="n"/>
      <c r="U79" s="190" t="n"/>
      <c r="V79" s="162" t="inlineStr">
        <is>
          <t>E M HERCÍLIA HENRIQUES MORET</t>
        </is>
      </c>
    </row>
    <row r="80" ht="15" customHeight="1" s="163">
      <c r="A80" s="188">
        <f>'ESCOLA MUNICIPALIZADA MOYSÉS FU'!B5</f>
        <v/>
      </c>
      <c r="B80" s="189">
        <f>HYPERLINK("#'ESCOLA MUNICIPALIZADA MOYSÉS FU'!A1",'ESCOLA MUNICIPALIZADA MOYSÉS FU'!B2)</f>
        <v/>
      </c>
      <c r="C80" s="190" t="n"/>
      <c r="D80" s="190" t="n"/>
      <c r="E80" s="190" t="n"/>
      <c r="F80" s="190" t="n"/>
      <c r="G80" s="190" t="n"/>
      <c r="H80" s="190" t="n"/>
      <c r="I80" s="190" t="n"/>
      <c r="J80" s="190" t="n"/>
      <c r="K80" s="190" t="n"/>
      <c r="L80" s="190" t="n"/>
      <c r="M80" s="190" t="n"/>
      <c r="N80" s="190" t="n"/>
      <c r="O80" s="190" t="n"/>
      <c r="P80" s="190" t="n"/>
      <c r="Q80" s="190" t="n"/>
      <c r="R80" s="190" t="n"/>
      <c r="S80" s="323" t="n"/>
      <c r="T80" s="190" t="n"/>
      <c r="U80" s="190" t="n"/>
      <c r="V80" s="162" t="inlineStr">
        <is>
          <t>ESCOLA MUNICIPALIZADA MOYSÉS FU</t>
        </is>
      </c>
    </row>
    <row r="81" ht="15" customHeight="1" s="163">
      <c r="A81" s="188">
        <f>'CIEP BRIZOLÃO 474 MAESTRO GUERR'!B5</f>
        <v/>
      </c>
      <c r="B81" s="189">
        <f>HYPERLINK("#'CIEP BRIZOLÃO 474 MAESTRO GUERR'!A1",'CIEP BRIZOLÃO 474 MAESTRO GUERR'!B2)</f>
        <v/>
      </c>
      <c r="C81" s="190" t="n"/>
      <c r="D81" s="190" t="n"/>
      <c r="E81" s="190" t="n"/>
      <c r="F81" s="190" t="n"/>
      <c r="G81" s="190" t="n"/>
      <c r="H81" s="190" t="n"/>
      <c r="I81" s="190" t="n"/>
      <c r="J81" s="190" t="n"/>
      <c r="K81" s="190" t="n"/>
      <c r="L81" s="190" t="n"/>
      <c r="M81" s="190" t="n"/>
      <c r="N81" s="190" t="n"/>
      <c r="O81" s="190" t="n"/>
      <c r="P81" s="190" t="n"/>
      <c r="Q81" s="190" t="n"/>
      <c r="R81" s="190" t="n"/>
      <c r="S81" s="323" t="n"/>
      <c r="T81" s="190" t="n"/>
      <c r="U81" s="190" t="n"/>
      <c r="V81" s="162" t="inlineStr">
        <is>
          <t>CIEP BRIZOLÃO 474 MAESTRO GUERR</t>
        </is>
      </c>
    </row>
    <row r="82" ht="15" customHeight="1" s="163">
      <c r="A82" s="188">
        <f>'CENTRO DE ENSINO PROF DARCY RIB'!B5</f>
        <v/>
      </c>
      <c r="B82" s="189">
        <f>HYPERLINK("#'CENTRO DE ENSINO PROF DARCY RIB'!A1",'CENTRO DE ENSINO PROF DARCY RIB'!B2)</f>
        <v/>
      </c>
      <c r="C82" s="190" t="n"/>
      <c r="D82" s="190" t="n"/>
      <c r="E82" s="190" t="n"/>
      <c r="F82" s="190" t="n"/>
      <c r="G82" s="190" t="n"/>
      <c r="H82" s="190" t="n"/>
      <c r="I82" s="190" t="n"/>
      <c r="J82" s="190" t="n"/>
      <c r="K82" s="190" t="n"/>
      <c r="L82" s="190" t="n"/>
      <c r="M82" s="190" t="n"/>
      <c r="N82" s="190" t="n"/>
      <c r="O82" s="190" t="n"/>
      <c r="P82" s="190" t="n"/>
      <c r="Q82" s="190" t="n"/>
      <c r="R82" s="190" t="n"/>
      <c r="S82" s="323" t="n"/>
      <c r="T82" s="190" t="n"/>
      <c r="U82" s="190" t="n"/>
      <c r="V82" s="162" t="inlineStr">
        <is>
          <t>CENTRO DE ENSINO PROF DARCY RIB</t>
        </is>
      </c>
    </row>
    <row r="83" ht="15" customHeight="1" s="163">
      <c r="A83" s="188">
        <f>'CASA DA EDUCAÇÃO VISCONDE DE MA'!B5</f>
        <v/>
      </c>
      <c r="B83" s="189">
        <f>HYPERLINK("#'CASA DA EDUCAÇÃO VISCONDE DE MA'!A1",'CASA DA EDUCAÇÃO VISCONDE DE MA'!B2)</f>
        <v/>
      </c>
      <c r="C83" s="190" t="n"/>
      <c r="D83" s="190" t="n"/>
      <c r="E83" s="190" t="n"/>
      <c r="F83" s="190" t="n"/>
      <c r="G83" s="190" t="n"/>
      <c r="H83" s="190" t="n"/>
      <c r="I83" s="190" t="n"/>
      <c r="J83" s="190" t="n"/>
      <c r="K83" s="190" t="n"/>
      <c r="L83" s="190" t="n"/>
      <c r="M83" s="190" t="n"/>
      <c r="N83" s="190" t="n"/>
      <c r="O83" s="190" t="n"/>
      <c r="P83" s="190" t="n"/>
      <c r="Q83" s="190" t="n"/>
      <c r="R83" s="190" t="n"/>
      <c r="S83" s="323" t="n"/>
      <c r="T83" s="190" t="n"/>
      <c r="U83" s="190" t="n"/>
      <c r="V83" s="162" t="inlineStr">
        <is>
          <t>CASA DA EDUCAÇÃO VISCONDE DE MA</t>
        </is>
      </c>
    </row>
    <row r="84" ht="15" customHeight="1" s="163">
      <c r="A84" s="188">
        <f>'CENTRO DE REFERÊNCIA EM EDUCAÇÃ'!B5</f>
        <v/>
      </c>
      <c r="B84" s="189">
        <f>HYPERLINK("#'CENTRO DE REFERÊNCIA EM EDUCAÇÃ'!A1",'CENTRO DE REFERÊNCIA EM EDUCAÇÃ'!B2)</f>
        <v/>
      </c>
      <c r="C84" s="190" t="n"/>
      <c r="D84" s="190" t="n"/>
      <c r="E84" s="190" t="n"/>
      <c r="F84" s="190" t="n"/>
      <c r="G84" s="190" t="n"/>
      <c r="H84" s="190" t="n"/>
      <c r="I84" s="190" t="n"/>
      <c r="J84" s="190" t="n"/>
      <c r="K84" s="190" t="n"/>
      <c r="L84" s="190" t="n"/>
      <c r="M84" s="190" t="n"/>
      <c r="N84" s="190" t="n"/>
      <c r="O84" s="190" t="n"/>
      <c r="P84" s="190" t="n"/>
      <c r="Q84" s="190" t="n"/>
      <c r="R84" s="190" t="n"/>
      <c r="S84" s="323" t="n"/>
      <c r="T84" s="190" t="n"/>
      <c r="U84" s="190" t="n"/>
      <c r="V84" s="162" t="inlineStr">
        <is>
          <t>CENTRO DE REFERÊNCIA EM EDUCAÇÃ</t>
        </is>
      </c>
    </row>
    <row r="85" ht="15" customHeight="1" s="163">
      <c r="A85" s="188">
        <f>'E M PROF NILTON COSTA PEREIRA D'!B5</f>
        <v/>
      </c>
      <c r="B85" s="189">
        <f>HYPERLINK("#'E M PROF NILTON COSTA PEREIRA D'!A1",'E M PROF NILTON COSTA PEREIRA D'!B2)</f>
        <v/>
      </c>
      <c r="C85" s="190" t="n"/>
      <c r="D85" s="190" t="n"/>
      <c r="E85" s="190" t="n"/>
      <c r="F85" s="190" t="n"/>
      <c r="G85" s="190" t="n"/>
      <c r="H85" s="190" t="n"/>
      <c r="I85" s="190" t="n"/>
      <c r="J85" s="190" t="n"/>
      <c r="K85" s="190" t="n"/>
      <c r="L85" s="190" t="n"/>
      <c r="M85" s="190" t="n"/>
      <c r="N85" s="190" t="n"/>
      <c r="O85" s="190" t="n"/>
      <c r="P85" s="190" t="n"/>
      <c r="Q85" s="190" t="n"/>
      <c r="R85" s="190" t="n"/>
      <c r="S85" s="323" t="n"/>
      <c r="T85" s="190" t="n"/>
      <c r="U85" s="190" t="n"/>
      <c r="V85" s="162" t="inlineStr">
        <is>
          <t>E M PROF NILTON COSTA PEREIRA D</t>
        </is>
      </c>
    </row>
    <row r="86" ht="15" customHeight="1" s="163">
      <c r="A86" s="188">
        <f>'COLÉGIO GUNNAR VINGREN DE PETRÓ'!B5</f>
        <v/>
      </c>
      <c r="B86" s="189">
        <f>HYPERLINK("#'COLÉGIO GUNNAR VINGREN DE PETRÓ'!A1",'COLÉGIO GUNNAR VINGREN DE PETRÓ'!B2)</f>
        <v/>
      </c>
      <c r="C86" s="190" t="n"/>
      <c r="D86" s="190" t="n"/>
      <c r="E86" s="190" t="n"/>
      <c r="F86" s="190" t="n"/>
      <c r="G86" s="190" t="n"/>
      <c r="H86" s="190" t="n"/>
      <c r="I86" s="190" t="n"/>
      <c r="J86" s="190" t="n"/>
      <c r="K86" s="190" t="n"/>
      <c r="L86" s="190" t="n"/>
      <c r="M86" s="190" t="n"/>
      <c r="N86" s="190" t="n"/>
      <c r="O86" s="190" t="n"/>
      <c r="P86" s="190" t="n"/>
      <c r="Q86" s="190" t="n"/>
      <c r="R86" s="190" t="n"/>
      <c r="S86" s="323" t="n"/>
      <c r="T86" s="190" t="n"/>
      <c r="U86" s="190" t="n"/>
      <c r="V86" s="162" t="inlineStr">
        <is>
          <t>COLÉGIO GUNNAR VINGREN DE PETRÓ</t>
        </is>
      </c>
    </row>
    <row r="87" ht="15" customHeight="1" s="163">
      <c r="A87" s="188">
        <f>'CENTRO DE REFERÊNCIA EM EDUC 2'!B5</f>
        <v/>
      </c>
      <c r="B87" s="189">
        <f>HYPERLINK("#'CENTRO DE REFERÊNCIA EM EDUC 2'!A1",'CENTRO DE REFERÊNCIA EM EDUC 2'!B2)</f>
        <v/>
      </c>
      <c r="C87" s="190" t="n"/>
      <c r="D87" s="190" t="n"/>
      <c r="E87" s="190" t="n"/>
      <c r="F87" s="190" t="n"/>
      <c r="G87" s="190" t="n"/>
      <c r="H87" s="190" t="n"/>
      <c r="I87" s="190" t="n"/>
      <c r="J87" s="190" t="n"/>
      <c r="K87" s="190" t="n"/>
      <c r="L87" s="190" t="n"/>
      <c r="M87" s="190" t="n"/>
      <c r="N87" s="190" t="n"/>
      <c r="O87" s="190" t="n"/>
      <c r="P87" s="190" t="n"/>
      <c r="Q87" s="190" t="n"/>
      <c r="R87" s="190" t="n"/>
      <c r="S87" s="323" t="n"/>
      <c r="T87" s="190" t="n"/>
      <c r="U87" s="190" t="n"/>
      <c r="V87" s="162" t="inlineStr">
        <is>
          <t>CENTRO DE REFERÊNCIA EM EDUC 2</t>
        </is>
      </c>
    </row>
    <row r="88" ht="15" customHeight="1" s="163">
      <c r="A88" s="188">
        <f>'ESCOLA SANTA LUIZA DE MARILLAC'!B5</f>
        <v/>
      </c>
      <c r="B88" s="189">
        <f>HYPERLINK("#'ESCOLA SANTA LUIZA DE MARILLAC'!A1",'ESCOLA SANTA LUIZA DE MARILLAC'!B2)</f>
        <v/>
      </c>
      <c r="C88" s="190" t="n"/>
      <c r="D88" s="190" t="n"/>
      <c r="E88" s="190" t="n"/>
      <c r="F88" s="190" t="n"/>
      <c r="G88" s="190" t="n"/>
      <c r="H88" s="190" t="n"/>
      <c r="I88" s="190" t="n"/>
      <c r="J88" s="190" t="n"/>
      <c r="K88" s="190" t="n"/>
      <c r="L88" s="190" t="n"/>
      <c r="M88" s="190" t="n"/>
      <c r="N88" s="190" t="n"/>
      <c r="O88" s="190" t="n"/>
      <c r="P88" s="190" t="n"/>
      <c r="Q88" s="190" t="n"/>
      <c r="R88" s="190" t="n"/>
      <c r="S88" s="323" t="n"/>
      <c r="T88" s="190" t="n"/>
      <c r="U88" s="190" t="n"/>
      <c r="V88" s="162" t="inlineStr">
        <is>
          <t>ESCOLA SANTA LUIZA DE MARILLAC</t>
        </is>
      </c>
    </row>
    <row r="89" ht="15" customHeight="1" s="163">
      <c r="A89" s="188">
        <f>'CENTRO EDUCACIONAL COMUNIDADE S'!B5</f>
        <v/>
      </c>
      <c r="B89" s="189">
        <f>HYPERLINK("#'CENTRO EDUCACIONAL COMUNIDADE S'!A1",'CENTRO EDUCACIONAL COMUNIDADE S'!B2)</f>
        <v/>
      </c>
      <c r="C89" s="190" t="n"/>
      <c r="D89" s="190" t="n"/>
      <c r="E89" s="190" t="n"/>
      <c r="F89" s="190" t="n"/>
      <c r="G89" s="190" t="n"/>
      <c r="H89" s="190" t="n"/>
      <c r="I89" s="190" t="n"/>
      <c r="J89" s="190" t="n"/>
      <c r="K89" s="190" t="n"/>
      <c r="L89" s="190" t="n"/>
      <c r="M89" s="190" t="n"/>
      <c r="N89" s="190" t="n"/>
      <c r="O89" s="190" t="n"/>
      <c r="P89" s="190" t="n"/>
      <c r="Q89" s="190" t="n"/>
      <c r="R89" s="190" t="n"/>
      <c r="S89" s="323" t="n"/>
      <c r="T89" s="190" t="n"/>
      <c r="U89" s="190" t="n"/>
      <c r="V89" s="162" t="inlineStr">
        <is>
          <t>CENTRO EDUCACIONAL COMUNIDADE S</t>
        </is>
      </c>
    </row>
    <row r="90" ht="15" customHeight="1" s="163">
      <c r="A90" s="188">
        <f>'EDUCANDÁRIO TERRA SANTA'!B5</f>
        <v/>
      </c>
      <c r="B90" s="189">
        <f>HYPERLINK("#'EDUCANDÁRIO TERRA SANTA'!A1",'EDUCANDÁRIO TERRA SANTA'!B2)</f>
        <v/>
      </c>
      <c r="C90" s="190" t="n"/>
      <c r="D90" s="190" t="n"/>
      <c r="E90" s="190" t="n"/>
      <c r="F90" s="190" t="n"/>
      <c r="G90" s="190" t="n"/>
      <c r="H90" s="190" t="n"/>
      <c r="I90" s="190" t="n"/>
      <c r="J90" s="190" t="n"/>
      <c r="K90" s="190" t="n"/>
      <c r="L90" s="190" t="n"/>
      <c r="M90" s="190" t="n"/>
      <c r="N90" s="190" t="n"/>
      <c r="O90" s="190" t="n"/>
      <c r="P90" s="190" t="n"/>
      <c r="Q90" s="190" t="n"/>
      <c r="R90" s="190" t="n"/>
      <c r="S90" s="323" t="n"/>
      <c r="T90" s="190" t="n"/>
      <c r="U90" s="190" t="n"/>
      <c r="V90" s="162" t="inlineStr">
        <is>
          <t>EDUCANDÁRIO TERRA SANTA</t>
        </is>
      </c>
    </row>
    <row r="91" ht="15" customHeight="1" s="163">
      <c r="A91" s="188">
        <f>'ESCOLA GERMANO VALENTE'!B5</f>
        <v/>
      </c>
      <c r="B91" s="189">
        <f>HYPERLINK("#'ESCOLA GERMANO VALENTE'!A1",'ESCOLA GERMANO VALENTE'!B2)</f>
        <v/>
      </c>
      <c r="C91" s="190" t="n"/>
      <c r="D91" s="190" t="n"/>
      <c r="E91" s="190" t="n"/>
      <c r="F91" s="190" t="n"/>
      <c r="G91" s="190" t="n"/>
      <c r="H91" s="190" t="n"/>
      <c r="I91" s="190" t="n"/>
      <c r="J91" s="190" t="n"/>
      <c r="K91" s="190" t="n"/>
      <c r="L91" s="190" t="n"/>
      <c r="M91" s="190" t="n"/>
      <c r="N91" s="190" t="n"/>
      <c r="O91" s="190" t="n"/>
      <c r="P91" s="190" t="n"/>
      <c r="Q91" s="190" t="n"/>
      <c r="R91" s="190" t="n"/>
      <c r="S91" s="323" t="n"/>
      <c r="T91" s="190" t="n"/>
      <c r="U91" s="190" t="n"/>
      <c r="V91" s="162" t="inlineStr">
        <is>
          <t>ESCOLA GERMANO VALENTE</t>
        </is>
      </c>
    </row>
    <row r="92" ht="15" customHeight="1" s="163">
      <c r="A92" s="188">
        <f>'ESCOLA DAS COMUNIDADES SANTO AN'!B5</f>
        <v/>
      </c>
      <c r="B92" s="189">
        <f>HYPERLINK("#'ESCOLA DAS COMUNIDADES SANTO AN'!A1",'ESCOLA DAS COMUNIDADES SANTO AN'!B2)</f>
        <v/>
      </c>
      <c r="C92" s="190" t="n"/>
      <c r="D92" s="190" t="n"/>
      <c r="E92" s="190" t="n"/>
      <c r="F92" s="190" t="n"/>
      <c r="G92" s="190" t="n"/>
      <c r="H92" s="190" t="n"/>
      <c r="I92" s="190" t="n"/>
      <c r="J92" s="190" t="n"/>
      <c r="K92" s="190" t="n"/>
      <c r="L92" s="190" t="n"/>
      <c r="M92" s="190" t="n"/>
      <c r="N92" s="190" t="n"/>
      <c r="O92" s="190" t="n"/>
      <c r="P92" s="190" t="n"/>
      <c r="Q92" s="190" t="n"/>
      <c r="R92" s="190" t="n"/>
      <c r="S92" s="323" t="n"/>
      <c r="T92" s="190" t="n"/>
      <c r="U92" s="190" t="n"/>
      <c r="V92" s="162" t="inlineStr">
        <is>
          <t>ESCOLA DAS COMUNIDADES SANTO AN</t>
        </is>
      </c>
    </row>
    <row r="93" ht="15" customHeight="1" s="163">
      <c r="A93" s="188">
        <f>'ESCOLA DOMÉSTICA NOSSA SENHORA '!B5</f>
        <v/>
      </c>
      <c r="B93" s="189">
        <f>HYPERLINK("#'ESCOLA DOMÉSTICA NOSSA SENHORA '!A1",'ESCOLA DOMÉSTICA NOSSA SENHORA '!B2)</f>
        <v/>
      </c>
      <c r="C93" s="190" t="n"/>
      <c r="D93" s="190" t="n"/>
      <c r="E93" s="190" t="n"/>
      <c r="F93" s="190" t="n"/>
      <c r="G93" s="190" t="n"/>
      <c r="H93" s="190" t="n"/>
      <c r="I93" s="190" t="n"/>
      <c r="J93" s="190" t="n"/>
      <c r="K93" s="190" t="n"/>
      <c r="L93" s="190" t="n"/>
      <c r="M93" s="190" t="n"/>
      <c r="N93" s="190" t="n"/>
      <c r="O93" s="190" t="n"/>
      <c r="P93" s="190" t="n"/>
      <c r="Q93" s="190" t="n"/>
      <c r="R93" s="190" t="n"/>
      <c r="S93" s="323" t="n"/>
      <c r="T93" s="190" t="n"/>
      <c r="U93" s="190" t="n"/>
      <c r="V93" s="162" t="inlineStr">
        <is>
          <t xml:space="preserve">ESCOLA DOMÉSTICA NOSSA SENHORA </t>
        </is>
      </c>
    </row>
    <row r="94" ht="15" customHeight="1" s="163">
      <c r="A94" s="188">
        <f>'ESCOLA PAROQUIAL NOSSA SENHO 3'!B5</f>
        <v/>
      </c>
      <c r="B94" s="189">
        <f>HYPERLINK("#'ESCOLA PAROQUIAL NOSSA SENHO 3'!A1",'ESCOLA PAROQUIAL NOSSA SENHO 3'!B2)</f>
        <v/>
      </c>
      <c r="C94" s="190" t="n"/>
      <c r="D94" s="190" t="n"/>
      <c r="E94" s="190" t="n"/>
      <c r="F94" s="190" t="n"/>
      <c r="G94" s="190" t="n"/>
      <c r="H94" s="190" t="n"/>
      <c r="I94" s="190" t="n"/>
      <c r="J94" s="190" t="n"/>
      <c r="K94" s="190" t="n"/>
      <c r="L94" s="190" t="n"/>
      <c r="M94" s="190" t="n"/>
      <c r="N94" s="190" t="n"/>
      <c r="O94" s="190" t="n"/>
      <c r="P94" s="190" t="n"/>
      <c r="Q94" s="190" t="n"/>
      <c r="R94" s="190" t="n"/>
      <c r="S94" s="323" t="n"/>
      <c r="T94" s="190" t="n"/>
      <c r="U94" s="190" t="n"/>
      <c r="V94" s="162" t="inlineStr">
        <is>
          <t>ESCOLA PAROQUIAL NOSSA SENHO 3</t>
        </is>
      </c>
    </row>
    <row r="95" ht="15" customHeight="1" s="163">
      <c r="A95" s="188">
        <f>'ESCOLA MONSENHOR GENTIL'!B5</f>
        <v/>
      </c>
      <c r="B95" s="189">
        <f>HYPERLINK("#'ESCOLA MONSENHOR GENTIL'!A1",'ESCOLA MONSENHOR GENTIL'!B2)</f>
        <v/>
      </c>
      <c r="C95" s="190" t="n"/>
      <c r="D95" s="190" t="n"/>
      <c r="E95" s="190" t="n"/>
      <c r="F95" s="190" t="n"/>
      <c r="G95" s="190" t="n"/>
      <c r="H95" s="190" t="n"/>
      <c r="I95" s="190" t="n"/>
      <c r="J95" s="190" t="n"/>
      <c r="K95" s="190" t="n"/>
      <c r="L95" s="190" t="n"/>
      <c r="M95" s="190" t="n"/>
      <c r="N95" s="190" t="n"/>
      <c r="O95" s="190" t="n"/>
      <c r="P95" s="190" t="n"/>
      <c r="Q95" s="190" t="n"/>
      <c r="R95" s="190" t="n"/>
      <c r="S95" s="323" t="n"/>
      <c r="T95" s="190" t="n"/>
      <c r="U95" s="190" t="n"/>
      <c r="V95" s="162" t="inlineStr">
        <is>
          <t>ESCOLA MONSENHOR GENTIL</t>
        </is>
      </c>
    </row>
    <row r="96" ht="15" customHeight="1" s="163">
      <c r="A96" s="188">
        <f>'ESCOLA PAROQUIAL BOM JESUS'!B5</f>
        <v/>
      </c>
      <c r="B96" s="189">
        <f>HYPERLINK("#'ESCOLA PAROQUIAL BOM JESUS'!A1",'ESCOLA PAROQUIAL BOM JESUS'!B2)</f>
        <v/>
      </c>
      <c r="C96" s="190" t="n"/>
      <c r="D96" s="190" t="n"/>
      <c r="E96" s="190" t="n"/>
      <c r="F96" s="190" t="n"/>
      <c r="G96" s="190" t="n"/>
      <c r="H96" s="190" t="n"/>
      <c r="I96" s="190" t="n"/>
      <c r="J96" s="190" t="n"/>
      <c r="K96" s="190" t="n"/>
      <c r="L96" s="190" t="n"/>
      <c r="M96" s="190" t="n"/>
      <c r="N96" s="190" t="n"/>
      <c r="O96" s="190" t="n"/>
      <c r="P96" s="190" t="n"/>
      <c r="Q96" s="190" t="n"/>
      <c r="R96" s="190" t="n"/>
      <c r="S96" s="323" t="n"/>
      <c r="T96" s="190" t="n"/>
      <c r="U96" s="190" t="n"/>
      <c r="V96" s="162" t="inlineStr">
        <is>
          <t>ESCOLA PAROQUIAL BOM JESUS</t>
        </is>
      </c>
    </row>
    <row r="97" ht="15" customHeight="1" s="163">
      <c r="A97" s="188">
        <f>'ESCOLA PAROQUIAL CARLOS DEMIÁ'!B5</f>
        <v/>
      </c>
      <c r="B97" s="189">
        <f>HYPERLINK("#'ESCOLA PAROQUIAL CARLOS DEMIÁ'!A1",'ESCOLA PAROQUIAL CARLOS DEMIÁ'!B2)</f>
        <v/>
      </c>
      <c r="C97" s="190" t="n"/>
      <c r="D97" s="190" t="n"/>
      <c r="E97" s="190" t="n"/>
      <c r="F97" s="190" t="n"/>
      <c r="G97" s="190" t="n"/>
      <c r="H97" s="190" t="n"/>
      <c r="I97" s="190" t="n"/>
      <c r="J97" s="190" t="n"/>
      <c r="K97" s="190" t="n"/>
      <c r="L97" s="190" t="n"/>
      <c r="M97" s="190" t="n"/>
      <c r="N97" s="190" t="n"/>
      <c r="O97" s="190" t="n"/>
      <c r="P97" s="190" t="n"/>
      <c r="Q97" s="190" t="n"/>
      <c r="R97" s="190" t="n"/>
      <c r="S97" s="323" t="n"/>
      <c r="T97" s="190" t="n"/>
      <c r="U97" s="190" t="n"/>
      <c r="V97" s="162" t="inlineStr">
        <is>
          <t>ESCOLA PAROQUIAL CARLOS DEMIÁ</t>
        </is>
      </c>
    </row>
    <row r="98" ht="15" customHeight="1" s="163">
      <c r="A98" s="188">
        <f>'ESCOLA PAROQUIAL NOSSA SENHO 2'!B5</f>
        <v/>
      </c>
      <c r="B98" s="189">
        <f>HYPERLINK("#'ESCOLA PAROQUIAL NOSSA SENHO 2'!A1",'ESCOLA PAROQUIAL NOSSA SENHO 2'!B2)</f>
        <v/>
      </c>
      <c r="C98" s="190" t="n"/>
      <c r="D98" s="190" t="n"/>
      <c r="E98" s="190" t="n"/>
      <c r="F98" s="190" t="n"/>
      <c r="G98" s="190" t="n"/>
      <c r="H98" s="190" t="n"/>
      <c r="I98" s="190" t="n"/>
      <c r="J98" s="190" t="n"/>
      <c r="K98" s="190" t="n"/>
      <c r="L98" s="190" t="n"/>
      <c r="M98" s="190" t="n"/>
      <c r="N98" s="190" t="n"/>
      <c r="O98" s="190" t="n"/>
      <c r="P98" s="190" t="n"/>
      <c r="Q98" s="190" t="n"/>
      <c r="R98" s="190" t="n"/>
      <c r="S98" s="323" t="n"/>
      <c r="T98" s="190" t="n"/>
      <c r="U98" s="190" t="n"/>
      <c r="V98" s="162" t="inlineStr">
        <is>
          <t>ESCOLA PAROQUIAL NOSSA SENHO 2</t>
        </is>
      </c>
    </row>
    <row r="99" ht="15" customHeight="1" s="163">
      <c r="A99" s="188">
        <f>'ESCOLA PAROQUIAL NOSSA SENHORA '!B5</f>
        <v/>
      </c>
      <c r="B99" s="189">
        <f>HYPERLINK("#'ESCOLA PAROQUIAL NOSSA SENHORA '!A1",'ESCOLA PAROQUIAL NOSSA SENHORA '!B2)</f>
        <v/>
      </c>
      <c r="C99" s="190" t="n"/>
      <c r="D99" s="190" t="n"/>
      <c r="E99" s="190" t="n"/>
      <c r="F99" s="190" t="n"/>
      <c r="G99" s="190" t="n"/>
      <c r="H99" s="190" t="n"/>
      <c r="I99" s="190" t="n"/>
      <c r="J99" s="190" t="n"/>
      <c r="K99" s="190" t="n"/>
      <c r="L99" s="190" t="n"/>
      <c r="M99" s="190" t="n"/>
      <c r="N99" s="190" t="n"/>
      <c r="O99" s="190" t="n"/>
      <c r="P99" s="190" t="n"/>
      <c r="Q99" s="190" t="n"/>
      <c r="R99" s="190" t="n"/>
      <c r="S99" s="323" t="n"/>
      <c r="T99" s="190" t="n"/>
      <c r="U99" s="190" t="n"/>
      <c r="V99" s="162" t="inlineStr">
        <is>
          <t xml:space="preserve">ESCOLA PAROQUIAL NOSSA SENHORA </t>
        </is>
      </c>
    </row>
    <row r="100" ht="15" customHeight="1" s="163">
      <c r="A100" s="188">
        <f>'ESCOLA PAROQUIAL SÃO PEDRO DE A'!B5</f>
        <v/>
      </c>
      <c r="B100" s="189">
        <f>HYPERLINK("#'ESCOLA PAROQUIAL SÃO PEDRO DE A'!A1",'ESCOLA PAROQUIAL SÃO PEDRO DE A'!B2)</f>
        <v/>
      </c>
      <c r="C100" s="190" t="n"/>
      <c r="D100" s="190" t="n"/>
      <c r="E100" s="190" t="n"/>
      <c r="F100" s="190" t="n"/>
      <c r="G100" s="190" t="n"/>
      <c r="H100" s="190" t="n"/>
      <c r="I100" s="190" t="n"/>
      <c r="J100" s="190" t="n"/>
      <c r="K100" s="190" t="n"/>
      <c r="L100" s="190" t="n"/>
      <c r="M100" s="190" t="n"/>
      <c r="N100" s="190" t="n"/>
      <c r="O100" s="190" t="n"/>
      <c r="P100" s="190" t="n"/>
      <c r="Q100" s="190" t="n"/>
      <c r="R100" s="190" t="n"/>
      <c r="S100" s="323" t="n"/>
      <c r="T100" s="190" t="n"/>
      <c r="U100" s="190" t="n"/>
      <c r="V100" s="162" t="inlineStr">
        <is>
          <t>ESCOLA PAROQUIAL SÃO PEDRO DE A</t>
        </is>
      </c>
    </row>
    <row r="101" ht="15" customHeight="1" s="163">
      <c r="A101" s="188">
        <f>'ESCOLA SANTA MARIA GORETTI'!B5</f>
        <v/>
      </c>
      <c r="B101" s="189">
        <f>HYPERLINK("#'ESCOLA SANTA MARIA GORETTI'!A1",'ESCOLA SANTA MARIA GORETTI'!B2)</f>
        <v/>
      </c>
      <c r="C101" s="190" t="n"/>
      <c r="D101" s="190" t="n"/>
      <c r="E101" s="190" t="n"/>
      <c r="F101" s="190" t="n"/>
      <c r="G101" s="190" t="n"/>
      <c r="H101" s="190" t="n"/>
      <c r="I101" s="190" t="n"/>
      <c r="J101" s="190" t="n"/>
      <c r="K101" s="190" t="n"/>
      <c r="L101" s="190" t="n"/>
      <c r="M101" s="190" t="n"/>
      <c r="N101" s="190" t="n"/>
      <c r="O101" s="190" t="n"/>
      <c r="P101" s="190" t="n"/>
      <c r="Q101" s="190" t="n"/>
      <c r="R101" s="190" t="n"/>
      <c r="S101" s="323" t="n"/>
      <c r="T101" s="190" t="n"/>
      <c r="U101" s="190" t="n"/>
      <c r="V101" s="162" t="inlineStr">
        <is>
          <t>ESCOLA SANTA MARIA GORETTI</t>
        </is>
      </c>
    </row>
    <row r="102" ht="15" customHeight="1" s="163">
      <c r="A102" s="188">
        <f>'ESCOLA SANTA RITA DE CASSIA'!B5</f>
        <v/>
      </c>
      <c r="B102" s="189">
        <f>HYPERLINK("#'ESCOLA SANTA RITA DE CASSIA'!A1",'ESCOLA SANTA RITA DE CASSIA'!B2)</f>
        <v/>
      </c>
      <c r="C102" s="190" t="n"/>
      <c r="D102" s="190" t="n"/>
      <c r="E102" s="190" t="n"/>
      <c r="F102" s="190" t="n"/>
      <c r="G102" s="190" t="n"/>
      <c r="H102" s="190" t="n"/>
      <c r="I102" s="190" t="n"/>
      <c r="J102" s="190" t="n"/>
      <c r="K102" s="190" t="n"/>
      <c r="L102" s="190" t="n"/>
      <c r="M102" s="190" t="n"/>
      <c r="N102" s="190" t="n"/>
      <c r="O102" s="190" t="n"/>
      <c r="P102" s="190" t="n"/>
      <c r="Q102" s="190" t="n"/>
      <c r="R102" s="190" t="n"/>
      <c r="S102" s="323" t="n"/>
      <c r="T102" s="190" t="n"/>
      <c r="U102" s="190" t="n"/>
      <c r="V102" s="162" t="inlineStr">
        <is>
          <t>ESCOLA SANTA RITA DE CASSIA</t>
        </is>
      </c>
    </row>
    <row r="103" ht="15" customHeight="1" s="163">
      <c r="A103" s="188">
        <f>'ESCOLA SÃO CRISTÓVÃO'!B5</f>
        <v/>
      </c>
      <c r="B103" s="189">
        <f>HYPERLINK("#'ESCOLA SÃO CRISTÓVÃO'!A1",'ESCOLA SÃO CRISTÓVÃO'!B2)</f>
        <v/>
      </c>
      <c r="C103" s="190" t="n"/>
      <c r="D103" s="190" t="n"/>
      <c r="E103" s="190" t="n"/>
      <c r="F103" s="190" t="n"/>
      <c r="G103" s="190" t="n"/>
      <c r="H103" s="190" t="n"/>
      <c r="I103" s="190" t="n"/>
      <c r="J103" s="190" t="n"/>
      <c r="K103" s="190" t="n"/>
      <c r="L103" s="190" t="n"/>
      <c r="M103" s="190" t="n"/>
      <c r="N103" s="190" t="n"/>
      <c r="O103" s="190" t="n"/>
      <c r="P103" s="190" t="n"/>
      <c r="Q103" s="190" t="n"/>
      <c r="R103" s="190" t="n"/>
      <c r="S103" s="323" t="n"/>
      <c r="T103" s="190" t="n"/>
      <c r="U103" s="190" t="n"/>
      <c r="V103" s="162" t="inlineStr">
        <is>
          <t>ESCOLA SÃO CRISTÓVÃO</t>
        </is>
      </c>
    </row>
    <row r="104" ht="15" customHeight="1" s="163">
      <c r="A104" s="188">
        <f>'ESCOLA PAROQUIAL SÃO FRANCISCO '!B5</f>
        <v/>
      </c>
      <c r="B104" s="189">
        <f>HYPERLINK("#'ESCOLA PAROQUIAL SÃO FRANCISCO '!A1",'ESCOLA PAROQUIAL SÃO FRANCISCO '!B2)</f>
        <v/>
      </c>
      <c r="C104" s="190" t="n"/>
      <c r="D104" s="190" t="n"/>
      <c r="E104" s="190" t="n"/>
      <c r="F104" s="190" t="n"/>
      <c r="G104" s="190" t="n"/>
      <c r="H104" s="190" t="n"/>
      <c r="I104" s="190" t="n"/>
      <c r="J104" s="190" t="n"/>
      <c r="K104" s="190" t="n"/>
      <c r="L104" s="190" t="n"/>
      <c r="M104" s="190" t="n"/>
      <c r="N104" s="190" t="n"/>
      <c r="O104" s="190" t="n"/>
      <c r="P104" s="190" t="n"/>
      <c r="Q104" s="190" t="n"/>
      <c r="R104" s="190" t="n"/>
      <c r="S104" s="323" t="n"/>
      <c r="T104" s="190" t="n"/>
      <c r="U104" s="190" t="n"/>
      <c r="V104" s="162" t="inlineStr">
        <is>
          <t xml:space="preserve">ESCOLA PAROQUIAL SÃO FRANCISCO </t>
        </is>
      </c>
    </row>
    <row r="105" ht="15" customHeight="1" s="163">
      <c r="A105" s="188">
        <f>'ESCOLA SAO FRANCISCO DE ASSIS'!B5</f>
        <v/>
      </c>
      <c r="B105" s="189">
        <f>HYPERLINK("#'ESCOLA SAO FRANCISCO DE ASSIS'!A1",'ESCOLA SAO FRANCISCO DE ASSIS'!B2)</f>
        <v/>
      </c>
      <c r="C105" s="190" t="n"/>
      <c r="D105" s="190" t="n"/>
      <c r="E105" s="190" t="n"/>
      <c r="F105" s="190" t="n"/>
      <c r="G105" s="190" t="n"/>
      <c r="H105" s="190" t="n"/>
      <c r="I105" s="190" t="n"/>
      <c r="J105" s="190" t="n"/>
      <c r="K105" s="190" t="n"/>
      <c r="L105" s="190" t="n"/>
      <c r="M105" s="190" t="n"/>
      <c r="N105" s="190" t="n"/>
      <c r="O105" s="190" t="n"/>
      <c r="P105" s="190" t="n"/>
      <c r="Q105" s="190" t="n"/>
      <c r="R105" s="190" t="n"/>
      <c r="S105" s="323" t="n"/>
      <c r="T105" s="190" t="n"/>
      <c r="U105" s="190" t="n"/>
      <c r="V105" s="162" t="inlineStr">
        <is>
          <t>ESCOLA SAO FRANCISCO DE ASSIS</t>
        </is>
      </c>
    </row>
    <row r="106" ht="15" customHeight="1" s="163">
      <c r="A106" s="188">
        <f>'ESCOLA SÃO JOÃO BATISTA'!B5</f>
        <v/>
      </c>
      <c r="B106" s="189">
        <f>HYPERLINK("#'ESCOLA SÃO JOÃO BATISTA'!A1",'ESCOLA SÃO JOÃO BATISTA'!B2)</f>
        <v/>
      </c>
      <c r="C106" s="190" t="n"/>
      <c r="D106" s="190" t="n"/>
      <c r="E106" s="190" t="n"/>
      <c r="F106" s="190" t="n"/>
      <c r="G106" s="190" t="n"/>
      <c r="H106" s="190" t="n"/>
      <c r="I106" s="190" t="n"/>
      <c r="J106" s="190" t="n"/>
      <c r="K106" s="190" t="n"/>
      <c r="L106" s="190" t="n"/>
      <c r="M106" s="190" t="n"/>
      <c r="N106" s="190" t="n"/>
      <c r="O106" s="190" t="n"/>
      <c r="P106" s="190" t="n"/>
      <c r="Q106" s="190" t="n"/>
      <c r="R106" s="190" t="n"/>
      <c r="S106" s="323" t="n"/>
      <c r="T106" s="190" t="n"/>
      <c r="U106" s="190" t="n"/>
      <c r="V106" s="162" t="inlineStr">
        <is>
          <t>ESCOLA SÃO JOÃO BATISTA</t>
        </is>
      </c>
    </row>
    <row r="107" ht="15" customHeight="1" s="163">
      <c r="A107" s="188">
        <f>'ESCOLA SÃO JUDAS TADEU'!B5</f>
        <v/>
      </c>
      <c r="B107" s="189">
        <f>HYPERLINK("#'ESCOLA SÃO JUDAS TADEU'!A1",'ESCOLA SÃO JUDAS TADEU'!B2)</f>
        <v/>
      </c>
      <c r="C107" s="190" t="n"/>
      <c r="D107" s="190" t="n"/>
      <c r="E107" s="190" t="n"/>
      <c r="F107" s="190" t="n"/>
      <c r="G107" s="190" t="n"/>
      <c r="H107" s="190" t="n"/>
      <c r="I107" s="190" t="n"/>
      <c r="J107" s="190" t="n"/>
      <c r="K107" s="190" t="n"/>
      <c r="L107" s="190" t="n"/>
      <c r="M107" s="190" t="n"/>
      <c r="N107" s="190" t="n"/>
      <c r="O107" s="190" t="n"/>
      <c r="P107" s="190" t="n"/>
      <c r="Q107" s="190" t="n"/>
      <c r="R107" s="190" t="n"/>
      <c r="S107" s="323" t="n"/>
      <c r="T107" s="190" t="n"/>
      <c r="U107" s="190" t="n"/>
      <c r="V107" s="162" t="inlineStr">
        <is>
          <t>ESCOLA SÃO JUDAS TADEU</t>
        </is>
      </c>
    </row>
    <row r="108" ht="15" customHeight="1" s="163">
      <c r="A108" s="188">
        <f>'ESCOLA PAROQUIAL SÃO PIO X'!B5</f>
        <v/>
      </c>
      <c r="B108" s="189">
        <f>HYPERLINK("#'ESCOLA PAROQUIAL SÃO PIO X'!A1",'ESCOLA PAROQUIAL SÃO PIO X'!B2)</f>
        <v/>
      </c>
      <c r="C108" s="190" t="n"/>
      <c r="D108" s="190" t="n"/>
      <c r="E108" s="190" t="n"/>
      <c r="F108" s="190" t="n"/>
      <c r="G108" s="190" t="n"/>
      <c r="H108" s="190" t="n"/>
      <c r="I108" s="190" t="n"/>
      <c r="J108" s="190" t="n"/>
      <c r="K108" s="190" t="n"/>
      <c r="L108" s="190" t="n"/>
      <c r="M108" s="190" t="n"/>
      <c r="N108" s="190" t="n"/>
      <c r="O108" s="190" t="n"/>
      <c r="P108" s="190" t="n"/>
      <c r="Q108" s="190" t="n"/>
      <c r="R108" s="190" t="n"/>
      <c r="S108" s="323" t="n"/>
      <c r="T108" s="190" t="n"/>
      <c r="U108" s="190" t="n"/>
      <c r="V108" s="162" t="inlineStr">
        <is>
          <t>ESCOLA PAROQUIAL SÃO PIO X</t>
        </is>
      </c>
    </row>
    <row r="109" ht="15" customHeight="1" s="163">
      <c r="A109" s="188">
        <f>'COLÉGIO ANGLICANO DE ARARAS'!B5</f>
        <v/>
      </c>
      <c r="B109" s="189">
        <f>HYPERLINK("#'COLÉGIO ANGLICANO DE ARARAS'!A1",'COLÉGIO ANGLICANO DE ARARAS'!B2)</f>
        <v/>
      </c>
      <c r="C109" s="190" t="n"/>
      <c r="D109" s="190" t="n"/>
      <c r="E109" s="190" t="n"/>
      <c r="F109" s="190" t="n"/>
      <c r="G109" s="190" t="n"/>
      <c r="H109" s="190" t="n"/>
      <c r="I109" s="190" t="n"/>
      <c r="J109" s="190" t="n"/>
      <c r="K109" s="190" t="n"/>
      <c r="L109" s="190" t="n"/>
      <c r="M109" s="190" t="n"/>
      <c r="N109" s="190" t="n"/>
      <c r="O109" s="190" t="n"/>
      <c r="P109" s="190" t="n"/>
      <c r="Q109" s="190" t="n"/>
      <c r="R109" s="190" t="n"/>
      <c r="S109" s="323" t="n"/>
      <c r="T109" s="190" t="n"/>
      <c r="U109" s="190" t="n"/>
      <c r="V109" s="162" t="inlineStr">
        <is>
          <t>COLÉGIO ANGLICANO DE ARARAS</t>
        </is>
      </c>
    </row>
    <row r="110" ht="15" customHeight="1" s="163">
      <c r="A110" s="188">
        <f>'COLEGIO VICENTINO PADRE CORRÊA'!B5</f>
        <v/>
      </c>
      <c r="B110" s="189">
        <f>HYPERLINK("#'COLEGIO VICENTINO PADRE CORRÊA'!A1",'COLEGIO VICENTINO PADRE CORRÊA'!B2)</f>
        <v/>
      </c>
      <c r="C110" s="190" t="n"/>
      <c r="D110" s="190" t="n"/>
      <c r="E110" s="190" t="n"/>
      <c r="F110" s="190" t="n"/>
      <c r="G110" s="190" t="n"/>
      <c r="H110" s="190" t="n"/>
      <c r="I110" s="190" t="n"/>
      <c r="J110" s="190" t="n"/>
      <c r="K110" s="190" t="n"/>
      <c r="L110" s="190" t="n"/>
      <c r="M110" s="190" t="n"/>
      <c r="N110" s="190" t="n"/>
      <c r="O110" s="190" t="n"/>
      <c r="P110" s="190" t="n"/>
      <c r="Q110" s="190" t="n"/>
      <c r="R110" s="190" t="n"/>
      <c r="S110" s="323" t="n"/>
      <c r="T110" s="190" t="n"/>
      <c r="U110" s="190" t="n"/>
      <c r="V110" s="162" t="inlineStr">
        <is>
          <t>COLEGIO VICENTINO PADRE CORRÊA</t>
        </is>
      </c>
    </row>
    <row r="111" ht="15" customHeight="1" s="163">
      <c r="A111" s="188">
        <f>'ESCOLA NOSSA SENHORA DE FÁTIMA'!B5</f>
        <v/>
      </c>
      <c r="B111" s="189">
        <f>HYPERLINK("#'ESCOLA NOSSA SENHORA DE FÁTIMA'!A1",'ESCOLA NOSSA SENHORA DE FÁTIMA'!B2)</f>
        <v/>
      </c>
      <c r="C111" s="190" t="n"/>
      <c r="D111" s="190" t="n"/>
      <c r="E111" s="190" t="n"/>
      <c r="F111" s="190" t="n"/>
      <c r="G111" s="190" t="n"/>
      <c r="H111" s="190" t="n"/>
      <c r="I111" s="190" t="n"/>
      <c r="J111" s="190" t="n"/>
      <c r="K111" s="190" t="n"/>
      <c r="L111" s="190" t="n"/>
      <c r="M111" s="190" t="n"/>
      <c r="N111" s="190" t="n"/>
      <c r="O111" s="190" t="n"/>
      <c r="P111" s="190" t="n"/>
      <c r="Q111" s="190" t="n"/>
      <c r="R111" s="190" t="n"/>
      <c r="S111" s="323" t="n"/>
      <c r="T111" s="190" t="n"/>
      <c r="U111" s="190" t="n"/>
      <c r="V111" s="162" t="inlineStr">
        <is>
          <t>ESCOLA NOSSA SENHORA DE FÁTIMA</t>
        </is>
      </c>
    </row>
    <row r="112" ht="15" customHeight="1" s="163">
      <c r="A112" s="188">
        <f>'ESCOLA PAROQUIAL DA ALCOBAÇA'!B5</f>
        <v/>
      </c>
      <c r="B112" s="189">
        <f>HYPERLINK("#'ESCOLA PAROQUIAL DA ALCOBAÇA'!A1",'ESCOLA PAROQUIAL DA ALCOBAÇA'!B2)</f>
        <v/>
      </c>
      <c r="C112" s="190" t="n"/>
      <c r="D112" s="190" t="n"/>
      <c r="E112" s="190" t="n"/>
      <c r="F112" s="190" t="n"/>
      <c r="G112" s="190" t="n"/>
      <c r="H112" s="190" t="n"/>
      <c r="I112" s="190" t="n"/>
      <c r="J112" s="190" t="n"/>
      <c r="K112" s="190" t="n"/>
      <c r="L112" s="190" t="n"/>
      <c r="M112" s="190" t="n"/>
      <c r="N112" s="190" t="n"/>
      <c r="O112" s="190" t="n"/>
      <c r="P112" s="190" t="n"/>
      <c r="Q112" s="190" t="n"/>
      <c r="R112" s="190" t="n"/>
      <c r="S112" s="323" t="n"/>
      <c r="T112" s="190" t="n"/>
      <c r="U112" s="190" t="n"/>
      <c r="V112" s="162" t="inlineStr">
        <is>
          <t>ESCOLA PAROQUIAL DA ALCOBAÇA</t>
        </is>
      </c>
    </row>
    <row r="113" ht="15" customHeight="1" s="163">
      <c r="A113" s="188">
        <f>'ESCOLA PAROQUIAL DO LOTEAMENTO '!B5</f>
        <v/>
      </c>
      <c r="B113" s="189">
        <f>HYPERLINK("#'ESCOLA PAROQUIAL DO LOTEAMENTO '!A1",'ESCOLA PAROQUIAL DO LOTEAMENTO '!B2)</f>
        <v/>
      </c>
      <c r="C113" s="190" t="n"/>
      <c r="D113" s="190" t="n"/>
      <c r="E113" s="190" t="n"/>
      <c r="F113" s="190" t="n"/>
      <c r="G113" s="190" t="n"/>
      <c r="H113" s="190" t="n"/>
      <c r="I113" s="190" t="n"/>
      <c r="J113" s="190" t="n"/>
      <c r="K113" s="190" t="n"/>
      <c r="L113" s="190" t="n"/>
      <c r="M113" s="190" t="n"/>
      <c r="N113" s="190" t="n"/>
      <c r="O113" s="190" t="n"/>
      <c r="P113" s="190" t="n"/>
      <c r="Q113" s="190" t="n"/>
      <c r="R113" s="190" t="n"/>
      <c r="S113" s="323" t="n"/>
      <c r="T113" s="190" t="n"/>
      <c r="U113" s="190" t="n"/>
      <c r="V113" s="162" t="inlineStr">
        <is>
          <t xml:space="preserve">ESCOLA PAROQUIAL DO LOTEAMENTO </t>
        </is>
      </c>
    </row>
    <row r="114" ht="15" customHeight="1" s="163">
      <c r="A114" s="188">
        <f>'ESCOLA PAROQUIAL SANTA BERNADET'!B5</f>
        <v/>
      </c>
      <c r="B114" s="189">
        <f>HYPERLINK("#'ESCOLA PAROQUIAL SANTA BERNADET'!A1",'ESCOLA PAROQUIAL SANTA BERNADET'!B2)</f>
        <v/>
      </c>
      <c r="C114" s="190" t="n"/>
      <c r="D114" s="190" t="n"/>
      <c r="E114" s="190" t="n"/>
      <c r="F114" s="190" t="n"/>
      <c r="G114" s="190" t="n"/>
      <c r="H114" s="190" t="n"/>
      <c r="I114" s="190" t="n"/>
      <c r="J114" s="190" t="n"/>
      <c r="K114" s="190" t="n"/>
      <c r="L114" s="190" t="n"/>
      <c r="M114" s="190" t="n"/>
      <c r="N114" s="190" t="n"/>
      <c r="O114" s="190" t="n"/>
      <c r="P114" s="190" t="n"/>
      <c r="Q114" s="190" t="n"/>
      <c r="R114" s="190" t="n"/>
      <c r="S114" s="323" t="n"/>
      <c r="T114" s="190" t="n"/>
      <c r="U114" s="190" t="n"/>
      <c r="V114" s="162" t="inlineStr">
        <is>
          <t>ESCOLA PAROQUIAL SANTA BERNADET</t>
        </is>
      </c>
    </row>
    <row r="115" ht="15" customHeight="1" s="163">
      <c r="A115" s="188">
        <f>'ESCOLA SÃO GERALDO'!B5</f>
        <v/>
      </c>
      <c r="B115" s="189">
        <f>HYPERLINK("#'ESCOLA SÃO GERALDO'!A1",'ESCOLA SÃO GERALDO'!B2)</f>
        <v/>
      </c>
      <c r="C115" s="190" t="n"/>
      <c r="D115" s="190" t="n"/>
      <c r="E115" s="190" t="n"/>
      <c r="F115" s="190" t="n"/>
      <c r="G115" s="190" t="n"/>
      <c r="H115" s="190" t="n"/>
      <c r="I115" s="190" t="n"/>
      <c r="J115" s="190" t="n"/>
      <c r="K115" s="190" t="n"/>
      <c r="L115" s="190" t="n"/>
      <c r="M115" s="190" t="n"/>
      <c r="N115" s="190" t="n"/>
      <c r="O115" s="190" t="n"/>
      <c r="P115" s="190" t="n"/>
      <c r="Q115" s="190" t="n"/>
      <c r="R115" s="190" t="n"/>
      <c r="S115" s="323" t="n"/>
      <c r="T115" s="190" t="n"/>
      <c r="U115" s="190" t="n"/>
      <c r="V115" s="162" t="inlineStr">
        <is>
          <t>ESCOLA SÃO GERALDO</t>
        </is>
      </c>
    </row>
    <row r="116" ht="15" customHeight="1" s="163">
      <c r="A116" s="188">
        <f>'ESCOLA SANTO ANTÔNIO'!B5</f>
        <v/>
      </c>
      <c r="B116" s="189">
        <f>HYPERLINK("#'ESCOLA SANTO ANTÔNIO'!A1",'ESCOLA SANTO ANTÔNIO'!B2)</f>
        <v/>
      </c>
      <c r="C116" s="190" t="n"/>
      <c r="D116" s="190" t="n"/>
      <c r="E116" s="190" t="n"/>
      <c r="F116" s="190" t="n"/>
      <c r="G116" s="190" t="n"/>
      <c r="H116" s="190" t="n"/>
      <c r="I116" s="190" t="n"/>
      <c r="J116" s="190" t="n"/>
      <c r="K116" s="190" t="n"/>
      <c r="L116" s="190" t="n"/>
      <c r="M116" s="190" t="n"/>
      <c r="N116" s="190" t="n"/>
      <c r="O116" s="190" t="n"/>
      <c r="P116" s="190" t="n"/>
      <c r="Q116" s="190" t="n"/>
      <c r="R116" s="190" t="n"/>
      <c r="S116" s="323" t="n"/>
      <c r="T116" s="190" t="n"/>
      <c r="U116" s="190" t="n"/>
      <c r="V116" s="162" t="inlineStr">
        <is>
          <t>ESCOLA SANTO ANTÔNIO</t>
        </is>
      </c>
    </row>
    <row r="117" ht="15" customHeight="1" s="163">
      <c r="A117" s="188">
        <f>'LICEU SÃO JOSÉ DE ITAIPAVA'!B5</f>
        <v/>
      </c>
      <c r="B117" s="189">
        <f>HYPERLINK("#'LICEU SÃO JOSÉ DE ITAIPAVA'!A1",'LICEU SÃO JOSÉ DE ITAIPAVA'!B2)</f>
        <v/>
      </c>
      <c r="C117" s="190" t="n"/>
      <c r="D117" s="190" t="n"/>
      <c r="E117" s="190" t="n"/>
      <c r="F117" s="190" t="n"/>
      <c r="G117" s="190" t="n"/>
      <c r="H117" s="190" t="n"/>
      <c r="I117" s="190" t="n"/>
      <c r="J117" s="190" t="n"/>
      <c r="K117" s="190" t="n"/>
      <c r="L117" s="190" t="n"/>
      <c r="M117" s="190" t="n"/>
      <c r="N117" s="190" t="n"/>
      <c r="O117" s="190" t="n"/>
      <c r="P117" s="190" t="n"/>
      <c r="Q117" s="190" t="n"/>
      <c r="R117" s="190" t="n"/>
      <c r="S117" s="323" t="n"/>
      <c r="T117" s="190" t="n"/>
      <c r="U117" s="190" t="n"/>
      <c r="V117" s="162" t="inlineStr">
        <is>
          <t>LICEU SÃO JOSÉ DE ITAIPAVA</t>
        </is>
      </c>
    </row>
    <row r="118" ht="15" customHeight="1" s="163">
      <c r="A118" s="188">
        <f>'ESCOLA SÃO JOSÉ DO CAETITU'!B5</f>
        <v/>
      </c>
      <c r="B118" s="189">
        <f>HYPERLINK("#'ESCOLA SÃO JOSÉ DO CAETITU'!A1",'ESCOLA SÃO JOSÉ DO CAETITU'!B2)</f>
        <v/>
      </c>
      <c r="C118" s="190" t="n"/>
      <c r="D118" s="190" t="n"/>
      <c r="E118" s="190" t="n"/>
      <c r="F118" s="190" t="n"/>
      <c r="G118" s="190" t="n"/>
      <c r="H118" s="190" t="n"/>
      <c r="I118" s="190" t="n"/>
      <c r="J118" s="190" t="n"/>
      <c r="K118" s="190" t="n"/>
      <c r="L118" s="190" t="n"/>
      <c r="M118" s="190" t="n"/>
      <c r="N118" s="190" t="n"/>
      <c r="O118" s="190" t="n"/>
      <c r="P118" s="190" t="n"/>
      <c r="Q118" s="190" t="n"/>
      <c r="R118" s="190" t="n"/>
      <c r="S118" s="323" t="n"/>
      <c r="T118" s="190" t="n"/>
      <c r="U118" s="190" t="n"/>
      <c r="V118" s="162" t="inlineStr">
        <is>
          <t>ESCOLA SÃO JOSÉ DO CAETITU</t>
        </is>
      </c>
    </row>
    <row r="119" ht="15" customHeight="1" s="163">
      <c r="A119" s="188">
        <f>'CEI ASSOCIAÇÃO BENEFICENTE FAZE'!B5</f>
        <v/>
      </c>
      <c r="B119" s="189">
        <f>HYPERLINK("#'CEI ASSOCIAÇÃO BENEFICENTE FAZE'!A1",'CEI ASSOCIAÇÃO BENEFICENTE FAZE'!B2)</f>
        <v/>
      </c>
      <c r="C119" s="190" t="n"/>
      <c r="D119" s="190" t="n"/>
      <c r="E119" s="190" t="n"/>
      <c r="F119" s="190" t="n"/>
      <c r="G119" s="190" t="n"/>
      <c r="H119" s="190" t="n"/>
      <c r="I119" s="190" t="n"/>
      <c r="J119" s="190" t="n"/>
      <c r="K119" s="190" t="n"/>
      <c r="L119" s="190" t="n"/>
      <c r="M119" s="190" t="n"/>
      <c r="N119" s="190" t="n"/>
      <c r="O119" s="190" t="n"/>
      <c r="P119" s="190" t="n"/>
      <c r="Q119" s="190" t="n"/>
      <c r="R119" s="190" t="n"/>
      <c r="S119" s="323" t="n"/>
      <c r="T119" s="190" t="n"/>
      <c r="U119" s="190" t="n"/>
      <c r="V119" s="162" t="inlineStr">
        <is>
          <t>CEI ASSOCIAÇÃO BENEFICENTE FAZE</t>
        </is>
      </c>
    </row>
    <row r="120" ht="15" customHeight="1" s="163">
      <c r="A120" s="188">
        <f>'CEI CASA DA SOLIDARIEDADE DE NO'!B5</f>
        <v/>
      </c>
      <c r="B120" s="189">
        <f>HYPERLINK("#'CEI CASA DA SOLIDARIEDADE DE NO'!A1",'CEI CASA DA SOLIDARIEDADE DE NO'!B2)</f>
        <v/>
      </c>
      <c r="C120" s="190" t="n"/>
      <c r="D120" s="190" t="n"/>
      <c r="E120" s="190" t="n"/>
      <c r="F120" s="190" t="n"/>
      <c r="G120" s="190" t="n"/>
      <c r="H120" s="190" t="n"/>
      <c r="I120" s="190" t="n"/>
      <c r="J120" s="190" t="n"/>
      <c r="K120" s="190" t="n"/>
      <c r="L120" s="190" t="n"/>
      <c r="M120" s="190" t="n"/>
      <c r="N120" s="190" t="n"/>
      <c r="O120" s="190" t="n"/>
      <c r="P120" s="190" t="n"/>
      <c r="Q120" s="190" t="n"/>
      <c r="R120" s="190" t="n"/>
      <c r="S120" s="323" t="n"/>
      <c r="T120" s="190" t="n"/>
      <c r="U120" s="190" t="n"/>
      <c r="V120" s="162" t="inlineStr">
        <is>
          <t>CEI CASA DA SOLIDARIEDADE DE NO</t>
        </is>
      </c>
    </row>
    <row r="121" ht="15" customHeight="1" s="163">
      <c r="A121" s="188">
        <f>'CEI LULU MONTEIRO DE CASTRO'!B5</f>
        <v/>
      </c>
      <c r="B121" s="189">
        <f>HYPERLINK("#'CEI LULU MONTEIRO DE CASTRO'!A1",'CEI LULU MONTEIRO DE CASTRO'!B2)</f>
        <v/>
      </c>
      <c r="C121" s="190" t="n"/>
      <c r="D121" s="190" t="n"/>
      <c r="E121" s="190" t="n"/>
      <c r="F121" s="190" t="n"/>
      <c r="G121" s="190" t="n"/>
      <c r="H121" s="190" t="n"/>
      <c r="I121" s="190" t="n"/>
      <c r="J121" s="190" t="n"/>
      <c r="K121" s="190" t="n"/>
      <c r="L121" s="190" t="n"/>
      <c r="M121" s="190" t="n"/>
      <c r="N121" s="190" t="n"/>
      <c r="O121" s="190" t="n"/>
      <c r="P121" s="190" t="n"/>
      <c r="Q121" s="190" t="n"/>
      <c r="R121" s="190" t="n"/>
      <c r="S121" s="323" t="n"/>
      <c r="T121" s="190" t="n"/>
      <c r="U121" s="190" t="n"/>
      <c r="V121" s="162" t="inlineStr">
        <is>
          <t>CEI LULU MONTEIRO DE CASTRO</t>
        </is>
      </c>
    </row>
    <row r="122" ht="15" customHeight="1" s="163">
      <c r="A122" s="188">
        <f>'CEI SÃO JOÃO BATISTA'!B5</f>
        <v/>
      </c>
      <c r="B122" s="189">
        <f>HYPERLINK("#'CEI SÃO JOÃO BATISTA'!A1",'CEI SÃO JOÃO BATISTA'!B2)</f>
        <v/>
      </c>
      <c r="C122" s="190" t="n"/>
      <c r="D122" s="190" t="n"/>
      <c r="E122" s="190" t="n"/>
      <c r="F122" s="190" t="n"/>
      <c r="G122" s="190" t="n"/>
      <c r="H122" s="190" t="n"/>
      <c r="I122" s="190" t="n"/>
      <c r="J122" s="190" t="n"/>
      <c r="K122" s="190" t="n"/>
      <c r="L122" s="190" t="n"/>
      <c r="M122" s="190" t="n"/>
      <c r="N122" s="190" t="n"/>
      <c r="O122" s="190" t="n"/>
      <c r="P122" s="190" t="n"/>
      <c r="Q122" s="190" t="n"/>
      <c r="R122" s="190" t="n"/>
      <c r="S122" s="323" t="n"/>
      <c r="T122" s="190" t="n"/>
      <c r="U122" s="190" t="n"/>
      <c r="V122" s="162" t="inlineStr">
        <is>
          <t>CEI SÃO JOÃO BATISTA</t>
        </is>
      </c>
    </row>
    <row r="123" ht="15" customHeight="1" s="163">
      <c r="A123" s="188">
        <f>'CEI SÃO FRANCISCO ASSIS'!B5</f>
        <v/>
      </c>
      <c r="B123" s="189">
        <f>HYPERLINK("#'CEI SÃO FRANCISCO ASSIS'!A1",'CEI SÃO FRANCISCO ASSIS'!B2)</f>
        <v/>
      </c>
      <c r="C123" s="190" t="n"/>
      <c r="D123" s="190" t="n"/>
      <c r="E123" s="190" t="n"/>
      <c r="F123" s="190" t="n"/>
      <c r="G123" s="190" t="n"/>
      <c r="H123" s="190" t="n"/>
      <c r="I123" s="190" t="n"/>
      <c r="J123" s="190" t="n"/>
      <c r="K123" s="190" t="n"/>
      <c r="L123" s="190" t="n"/>
      <c r="M123" s="190" t="n"/>
      <c r="N123" s="190" t="n"/>
      <c r="O123" s="190" t="n"/>
      <c r="P123" s="190" t="n"/>
      <c r="Q123" s="190" t="n"/>
      <c r="R123" s="190" t="n"/>
      <c r="S123" s="323" t="n"/>
      <c r="T123" s="190" t="n"/>
      <c r="U123" s="190" t="n"/>
      <c r="V123" s="162" t="inlineStr">
        <is>
          <t>CEI SÃO FRANCISCO ASSIS</t>
        </is>
      </c>
    </row>
    <row r="124" ht="15" customHeight="1" s="163">
      <c r="A124" s="188">
        <f>'CEI A SEMENTEIRA'!B5</f>
        <v/>
      </c>
      <c r="B124" s="189">
        <f>HYPERLINK("#'CEI A SEMENTEIRA'!A1",'CEI A SEMENTEIRA'!B2)</f>
        <v/>
      </c>
      <c r="C124" s="190" t="n"/>
      <c r="D124" s="190" t="n"/>
      <c r="E124" s="190" t="n"/>
      <c r="F124" s="190" t="n"/>
      <c r="G124" s="190" t="n"/>
      <c r="H124" s="190" t="n"/>
      <c r="I124" s="190" t="n"/>
      <c r="J124" s="190" t="n"/>
      <c r="K124" s="190" t="n"/>
      <c r="L124" s="190" t="n"/>
      <c r="M124" s="190" t="n"/>
      <c r="N124" s="190" t="n"/>
      <c r="O124" s="190" t="n"/>
      <c r="P124" s="190" t="n"/>
      <c r="Q124" s="190" t="n"/>
      <c r="R124" s="190" t="n"/>
      <c r="S124" s="323" t="n"/>
      <c r="T124" s="190" t="n"/>
      <c r="U124" s="190" t="n"/>
      <c r="V124" s="162" t="inlineStr">
        <is>
          <t>CEI A SEMENTEIRA</t>
        </is>
      </c>
    </row>
    <row r="125" ht="15" customHeight="1" s="163">
      <c r="A125" s="188">
        <f>'CEI FREI LEÃO'!B5</f>
        <v/>
      </c>
      <c r="B125" s="189">
        <f>HYPERLINK("#'CEI FREI LEÃO'!A1",'CEI FREI LEÃO'!B2)</f>
        <v/>
      </c>
      <c r="C125" s="190" t="n"/>
      <c r="D125" s="190" t="n"/>
      <c r="E125" s="190" t="n"/>
      <c r="F125" s="190" t="n"/>
      <c r="G125" s="190" t="n"/>
      <c r="H125" s="190" t="n"/>
      <c r="I125" s="190" t="n"/>
      <c r="J125" s="190" t="n"/>
      <c r="K125" s="190" t="n"/>
      <c r="L125" s="190" t="n"/>
      <c r="M125" s="190" t="n"/>
      <c r="N125" s="190" t="n"/>
      <c r="O125" s="190" t="n"/>
      <c r="P125" s="190" t="n"/>
      <c r="Q125" s="190" t="n"/>
      <c r="R125" s="190" t="n"/>
      <c r="S125" s="323" t="n"/>
      <c r="T125" s="190" t="n"/>
      <c r="U125" s="190" t="n"/>
      <c r="V125" s="162" t="inlineStr">
        <is>
          <t>CEI FREI LEÃO</t>
        </is>
      </c>
    </row>
    <row r="126" ht="15" customHeight="1" s="163">
      <c r="A126" s="188">
        <f>'CEI ROMANO CANAVESE'!B5</f>
        <v/>
      </c>
      <c r="B126" s="189">
        <f>HYPERLINK("#'CEI ROMANO CANAVESE'!A1",'CEI ROMANO CANAVESE'!B2)</f>
        <v/>
      </c>
      <c r="C126" s="190" t="n"/>
      <c r="D126" s="190" t="n"/>
      <c r="E126" s="190" t="n"/>
      <c r="F126" s="190" t="n"/>
      <c r="G126" s="190" t="n"/>
      <c r="H126" s="190" t="n"/>
      <c r="I126" s="190" t="n"/>
      <c r="J126" s="190" t="n"/>
      <c r="K126" s="190" t="n"/>
      <c r="L126" s="190" t="n"/>
      <c r="M126" s="190" t="n"/>
      <c r="N126" s="190" t="n"/>
      <c r="O126" s="190" t="n"/>
      <c r="P126" s="190" t="n"/>
      <c r="Q126" s="190" t="n"/>
      <c r="R126" s="190" t="n"/>
      <c r="S126" s="323" t="n"/>
      <c r="T126" s="190" t="n"/>
      <c r="U126" s="190" t="n"/>
      <c r="V126" s="162" t="inlineStr">
        <is>
          <t>CEI ROMANO CANAVESE</t>
        </is>
      </c>
    </row>
    <row r="127" ht="15" customHeight="1" s="163">
      <c r="A127" s="188">
        <f>'CEI ANDRÉ VANZAN'!B5</f>
        <v/>
      </c>
      <c r="B127" s="189">
        <f>HYPERLINK("#'CEI ANDRÉ VANZAN'!A1",'CEI ANDRÉ VANZAN'!B2)</f>
        <v/>
      </c>
      <c r="C127" s="190" t="n"/>
      <c r="D127" s="190" t="n"/>
      <c r="E127" s="190" t="n"/>
      <c r="F127" s="190" t="n"/>
      <c r="G127" s="190" t="n"/>
      <c r="H127" s="190" t="n"/>
      <c r="I127" s="190" t="n"/>
      <c r="J127" s="190" t="n"/>
      <c r="K127" s="190" t="n"/>
      <c r="L127" s="190" t="n"/>
      <c r="M127" s="190" t="n"/>
      <c r="N127" s="190" t="n"/>
      <c r="O127" s="190" t="n"/>
      <c r="P127" s="190" t="n"/>
      <c r="Q127" s="190" t="n"/>
      <c r="R127" s="190" t="n"/>
      <c r="S127" s="323" t="n"/>
      <c r="T127" s="190" t="n"/>
      <c r="U127" s="190" t="n"/>
      <c r="V127" s="162" t="inlineStr">
        <is>
          <t>CEI ANDRÉ VANZAN</t>
        </is>
      </c>
    </row>
    <row r="128" ht="15" customHeight="1" s="163">
      <c r="A128" s="188">
        <f>'CEI CRIANÇA SANTA EDWIGES'!B5</f>
        <v/>
      </c>
      <c r="B128" s="189">
        <f>HYPERLINK("#'CEI CRIANÇA SANTA EDWIGES'!A1",'CEI CRIANÇA SANTA EDWIGES'!B2)</f>
        <v/>
      </c>
      <c r="C128" s="190" t="n"/>
      <c r="D128" s="190" t="n"/>
      <c r="E128" s="190" t="n"/>
      <c r="F128" s="190" t="n"/>
      <c r="G128" s="190" t="n"/>
      <c r="H128" s="190" t="n"/>
      <c r="I128" s="190" t="n"/>
      <c r="J128" s="190" t="n"/>
      <c r="K128" s="190" t="n"/>
      <c r="L128" s="190" t="n"/>
      <c r="M128" s="190" t="n"/>
      <c r="N128" s="190" t="n"/>
      <c r="O128" s="190" t="n"/>
      <c r="P128" s="190" t="n"/>
      <c r="Q128" s="190" t="n"/>
      <c r="R128" s="190" t="n"/>
      <c r="S128" s="323" t="n"/>
      <c r="T128" s="190" t="n"/>
      <c r="U128" s="190" t="n"/>
      <c r="V128" s="162" t="inlineStr">
        <is>
          <t>CEI CRIANÇA SANTA EDWIGES</t>
        </is>
      </c>
    </row>
    <row r="129" ht="15" customHeight="1" s="163">
      <c r="A129" s="188">
        <f>'CENTRO DE EDUCAÇÃO INFANTIL IRM'!B5</f>
        <v/>
      </c>
      <c r="B129" s="189">
        <f>HYPERLINK("#'CENTRO DE EDUCAÇÃO INFANTIL IRM'!A1",'CENTRO DE EDUCAÇÃO INFANTIL IRM'!B2)</f>
        <v/>
      </c>
      <c r="C129" s="190" t="n"/>
      <c r="D129" s="190" t="n"/>
      <c r="E129" s="190" t="n"/>
      <c r="F129" s="190" t="n"/>
      <c r="G129" s="190" t="n"/>
      <c r="H129" s="190" t="n"/>
      <c r="I129" s="190" t="n"/>
      <c r="J129" s="190" t="n"/>
      <c r="K129" s="190" t="n"/>
      <c r="L129" s="190" t="n"/>
      <c r="M129" s="190" t="n"/>
      <c r="N129" s="190" t="n"/>
      <c r="O129" s="190" t="n"/>
      <c r="P129" s="190" t="n"/>
      <c r="Q129" s="190" t="n"/>
      <c r="R129" s="190" t="n"/>
      <c r="S129" s="323" t="n"/>
      <c r="T129" s="190" t="n"/>
      <c r="U129" s="190" t="n"/>
      <c r="V129" s="162" t="inlineStr">
        <is>
          <t>CENTRO DE EDUCAÇÃO INFANTIL IRM</t>
        </is>
      </c>
    </row>
    <row r="130" ht="15" customHeight="1" s="163">
      <c r="A130" s="188">
        <f>'CEI PEDRAS BRANCAS'!B5</f>
        <v/>
      </c>
      <c r="B130" s="189">
        <f>HYPERLINK("#'CEI PEDRAS BRANCAS'!A1",'CEI PEDRAS BRANCAS'!B2)</f>
        <v/>
      </c>
      <c r="C130" s="190" t="n"/>
      <c r="D130" s="190" t="n"/>
      <c r="E130" s="190" t="n"/>
      <c r="F130" s="190" t="n"/>
      <c r="G130" s="190" t="n"/>
      <c r="H130" s="190" t="n"/>
      <c r="I130" s="190" t="n"/>
      <c r="J130" s="190" t="n"/>
      <c r="K130" s="190" t="n"/>
      <c r="L130" s="190" t="n"/>
      <c r="M130" s="190" t="n"/>
      <c r="N130" s="190" t="n"/>
      <c r="O130" s="190" t="n"/>
      <c r="P130" s="190" t="n"/>
      <c r="Q130" s="190" t="n"/>
      <c r="R130" s="190" t="n"/>
      <c r="S130" s="323" t="n"/>
      <c r="T130" s="190" t="n"/>
      <c r="U130" s="190" t="n"/>
      <c r="V130" s="162" t="inlineStr">
        <is>
          <t>CEI PEDRAS BRANCAS</t>
        </is>
      </c>
    </row>
    <row r="131" ht="15" customHeight="1" s="163">
      <c r="A131" s="188">
        <f>'CEI INÊS BELARMINO DE SOUZA'!B5</f>
        <v/>
      </c>
      <c r="B131" s="189">
        <f>HYPERLINK("#'CEI INÊS BELARMINO DE SOUZA'!A1",'CEI INÊS BELARMINO DE SOUZA'!B2)</f>
        <v/>
      </c>
      <c r="C131" s="190" t="n"/>
      <c r="D131" s="190" t="n"/>
      <c r="E131" s="190" t="n"/>
      <c r="F131" s="190" t="n"/>
      <c r="G131" s="190" t="n"/>
      <c r="H131" s="190" t="n"/>
      <c r="I131" s="190" t="n"/>
      <c r="J131" s="190" t="n"/>
      <c r="K131" s="190" t="n"/>
      <c r="L131" s="190" t="n"/>
      <c r="M131" s="190" t="n"/>
      <c r="N131" s="190" t="n"/>
      <c r="O131" s="190" t="n"/>
      <c r="P131" s="190" t="n"/>
      <c r="Q131" s="190" t="n"/>
      <c r="R131" s="190" t="n"/>
      <c r="S131" s="323" t="n"/>
      <c r="T131" s="190" t="n"/>
      <c r="U131" s="190" t="n"/>
      <c r="V131" s="162" t="inlineStr">
        <is>
          <t>CEI INÊS BELARMINO DE SOUZA</t>
        </is>
      </c>
    </row>
    <row r="132" ht="15" customHeight="1" s="163">
      <c r="A132" s="188">
        <f>'CEI PROFª ROSANGELA DA SILVA LE'!B5</f>
        <v/>
      </c>
      <c r="B132" s="189">
        <f>HYPERLINK("#'CEI PROFª ROSANGELA DA SILVA LE'!A1",'CEI PROFª ROSANGELA DA SILVA LE'!B2)</f>
        <v/>
      </c>
      <c r="C132" s="190" t="n"/>
      <c r="D132" s="190" t="n"/>
      <c r="E132" s="190" t="n"/>
      <c r="F132" s="190" t="n"/>
      <c r="G132" s="190" t="n"/>
      <c r="H132" s="190" t="n"/>
      <c r="I132" s="190" t="n"/>
      <c r="J132" s="190" t="n"/>
      <c r="K132" s="190" t="n"/>
      <c r="L132" s="190" t="n"/>
      <c r="M132" s="190" t="n"/>
      <c r="N132" s="190" t="n"/>
      <c r="O132" s="190" t="n"/>
      <c r="P132" s="190" t="n"/>
      <c r="Q132" s="190" t="n"/>
      <c r="R132" s="190" t="n"/>
      <c r="S132" s="323" t="n"/>
      <c r="T132" s="190" t="n"/>
      <c r="U132" s="190" t="n"/>
      <c r="V132" s="162" t="inlineStr">
        <is>
          <t>CEI PROFª ROSANGELA DA SILVA LE</t>
        </is>
      </c>
    </row>
    <row r="133" ht="15" customHeight="1" s="163">
      <c r="A133" s="188">
        <f>'CEI VILA SAO JOSE'!B5</f>
        <v/>
      </c>
      <c r="B133" s="189">
        <f>HYPERLINK("#'CEI VILA SAO JOSE'!A1",'CEI VILA SAO JOSE'!B2)</f>
        <v/>
      </c>
      <c r="C133" s="190" t="n"/>
      <c r="D133" s="190" t="n"/>
      <c r="E133" s="190" t="n"/>
      <c r="F133" s="190" t="n"/>
      <c r="G133" s="190" t="n"/>
      <c r="H133" s="190" t="n"/>
      <c r="I133" s="190" t="n"/>
      <c r="J133" s="190" t="n"/>
      <c r="K133" s="190" t="n"/>
      <c r="L133" s="190" t="n"/>
      <c r="M133" s="190" t="n"/>
      <c r="N133" s="190" t="n"/>
      <c r="O133" s="190" t="n"/>
      <c r="P133" s="190" t="n"/>
      <c r="Q133" s="190" t="n"/>
      <c r="R133" s="190" t="n"/>
      <c r="S133" s="323" t="n"/>
      <c r="T133" s="190" t="n"/>
      <c r="U133" s="190" t="n"/>
      <c r="V133" s="162" t="inlineStr">
        <is>
          <t>CEI VILA SAO JOSE</t>
        </is>
      </c>
    </row>
    <row r="134" ht="15" customHeight="1" s="163">
      <c r="A134" s="188">
        <f>'CEI MARIA THEREZA KLING DO VALL'!B5</f>
        <v/>
      </c>
      <c r="B134" s="189">
        <f>HYPERLINK("#'CEI MARIA THEREZA KLING DO VALL'!A1",'CEI MARIA THEREZA KLING DO VALL'!B2)</f>
        <v/>
      </c>
      <c r="C134" s="190" t="n"/>
      <c r="D134" s="190" t="n"/>
      <c r="E134" s="190" t="n"/>
      <c r="F134" s="190" t="n"/>
      <c r="G134" s="190" t="n"/>
      <c r="H134" s="190" t="n"/>
      <c r="I134" s="190" t="n"/>
      <c r="J134" s="190" t="n"/>
      <c r="K134" s="190" t="n"/>
      <c r="L134" s="190" t="n"/>
      <c r="M134" s="190" t="n"/>
      <c r="N134" s="190" t="n"/>
      <c r="O134" s="190" t="n"/>
      <c r="P134" s="190" t="n"/>
      <c r="Q134" s="190" t="n"/>
      <c r="R134" s="190" t="n"/>
      <c r="S134" s="323" t="n"/>
      <c r="T134" s="190" t="n"/>
      <c r="U134" s="190" t="n"/>
      <c r="V134" s="162" t="inlineStr">
        <is>
          <t>CEI MARIA THEREZA KLING DO VALL</t>
        </is>
      </c>
    </row>
    <row r="135" ht="15" customHeight="1" s="163">
      <c r="A135" s="188">
        <f>'CEI DEISE ELOY GOMES'!B5</f>
        <v/>
      </c>
      <c r="B135" s="189">
        <f>HYPERLINK("#'CEI DEISE ELOY GOMES'!A1",'CEI DEISE ELOY GOMES'!B2)</f>
        <v/>
      </c>
      <c r="C135" s="190" t="n"/>
      <c r="D135" s="190" t="n"/>
      <c r="E135" s="190" t="n"/>
      <c r="F135" s="190" t="n"/>
      <c r="G135" s="190" t="n"/>
      <c r="H135" s="190" t="n"/>
      <c r="I135" s="190" t="n"/>
      <c r="J135" s="190" t="n"/>
      <c r="K135" s="190" t="n"/>
      <c r="L135" s="190" t="n"/>
      <c r="M135" s="190" t="n"/>
      <c r="N135" s="190" t="n"/>
      <c r="O135" s="190" t="n"/>
      <c r="P135" s="190" t="n"/>
      <c r="Q135" s="190" t="n"/>
      <c r="R135" s="190" t="n"/>
      <c r="S135" s="323" t="n"/>
      <c r="T135" s="190" t="n"/>
      <c r="U135" s="190" t="n"/>
      <c r="V135" s="162" t="inlineStr">
        <is>
          <t>CEI DEISE ELOY GOMES</t>
        </is>
      </c>
    </row>
    <row r="136" ht="15" customHeight="1" s="163">
      <c r="A136" s="188">
        <f>'CENTRO PAROQUIAL DE EDUCAÇÃO IN'!B5</f>
        <v/>
      </c>
      <c r="B136" s="189">
        <f>HYPERLINK("#'CENTRO PAROQUIAL DE EDUCAÇÃO IN'!A1",'CENTRO PAROQUIAL DE EDUCAÇÃO IN'!B2)</f>
        <v/>
      </c>
      <c r="C136" s="190" t="n"/>
      <c r="D136" s="190" t="n"/>
      <c r="E136" s="190" t="n"/>
      <c r="F136" s="190" t="n"/>
      <c r="G136" s="190" t="n"/>
      <c r="H136" s="190" t="n"/>
      <c r="I136" s="190" t="n"/>
      <c r="J136" s="190" t="n"/>
      <c r="K136" s="190" t="n"/>
      <c r="L136" s="190" t="n"/>
      <c r="M136" s="190" t="n"/>
      <c r="N136" s="190" t="n"/>
      <c r="O136" s="190" t="n"/>
      <c r="P136" s="190" t="n"/>
      <c r="Q136" s="190" t="n"/>
      <c r="R136" s="190" t="n"/>
      <c r="S136" s="323" t="n"/>
      <c r="T136" s="190" t="n"/>
      <c r="U136" s="190" t="n"/>
      <c r="V136" s="162" t="inlineStr">
        <is>
          <t>CENTRO PAROQUIAL DE EDUCAÇÃO IN</t>
        </is>
      </c>
    </row>
    <row r="137" ht="15" customHeight="1" s="163">
      <c r="A137" s="188">
        <f>'CEI VISTA ALEGRE'!B5</f>
        <v/>
      </c>
      <c r="B137" s="189">
        <f>HYPERLINK("#'CEI VISTA ALEGRE'!A1",'CEI VISTA ALEGRE'!B2)</f>
        <v/>
      </c>
      <c r="C137" s="190" t="n"/>
      <c r="D137" s="190" t="n"/>
      <c r="E137" s="190" t="n"/>
      <c r="F137" s="190" t="n"/>
      <c r="G137" s="190" t="n"/>
      <c r="H137" s="190" t="n"/>
      <c r="I137" s="190" t="n"/>
      <c r="J137" s="190" t="n"/>
      <c r="K137" s="190" t="n"/>
      <c r="L137" s="190" t="n"/>
      <c r="M137" s="190" t="n"/>
      <c r="N137" s="190" t="n"/>
      <c r="O137" s="190" t="n"/>
      <c r="P137" s="190" t="n"/>
      <c r="Q137" s="190" t="n"/>
      <c r="R137" s="190" t="n"/>
      <c r="S137" s="323" t="n"/>
      <c r="T137" s="190" t="n"/>
      <c r="U137" s="190" t="n"/>
      <c r="V137" s="162" t="inlineStr">
        <is>
          <t>CEI VISTA ALEGRE</t>
        </is>
      </c>
    </row>
    <row r="138" ht="15" customHeight="1" s="163">
      <c r="A138" s="188">
        <f>'CEI ALDEIA DA CRIANCA'!B5</f>
        <v/>
      </c>
      <c r="B138" s="189">
        <f>HYPERLINK("#'CEI ALDEIA DA CRIANCA'!A1",'CEI ALDEIA DA CRIANCA'!B2)</f>
        <v/>
      </c>
      <c r="C138" s="190" t="n"/>
      <c r="D138" s="190" t="n"/>
      <c r="E138" s="190" t="n"/>
      <c r="F138" s="190" t="n"/>
      <c r="G138" s="190" t="n"/>
      <c r="H138" s="190" t="n"/>
      <c r="I138" s="190" t="n"/>
      <c r="J138" s="190" t="n"/>
      <c r="K138" s="190" t="n"/>
      <c r="L138" s="190" t="n"/>
      <c r="M138" s="190" t="n"/>
      <c r="N138" s="190" t="n"/>
      <c r="O138" s="190" t="n"/>
      <c r="P138" s="190" t="n"/>
      <c r="Q138" s="190" t="n"/>
      <c r="R138" s="190" t="n"/>
      <c r="S138" s="323" t="n"/>
      <c r="T138" s="190" t="n"/>
      <c r="U138" s="190" t="n"/>
      <c r="V138" s="162" t="inlineStr">
        <is>
          <t>CEI ALDEIA DA CRIANCA</t>
        </is>
      </c>
    </row>
    <row r="139" ht="15" customHeight="1" s="163">
      <c r="A139" s="188">
        <f>'CEI DÉA LÚCIA CORDEIRO'!B5</f>
        <v/>
      </c>
      <c r="B139" s="189">
        <f>HYPERLINK("#'CEI DÉA LÚCIA CORDEIRO'!A1",'CEI DÉA LÚCIA CORDEIRO'!B2)</f>
        <v/>
      </c>
      <c r="C139" s="190" t="n"/>
      <c r="D139" s="190" t="n"/>
      <c r="E139" s="190" t="n"/>
      <c r="F139" s="190" t="n"/>
      <c r="G139" s="190" t="n"/>
      <c r="H139" s="190" t="n"/>
      <c r="I139" s="190" t="n"/>
      <c r="J139" s="190" t="n"/>
      <c r="K139" s="190" t="n"/>
      <c r="L139" s="190" t="n"/>
      <c r="M139" s="190" t="n"/>
      <c r="N139" s="190" t="n"/>
      <c r="O139" s="190" t="n"/>
      <c r="P139" s="190" t="n"/>
      <c r="Q139" s="190" t="n"/>
      <c r="R139" s="190" t="n"/>
      <c r="S139" s="323" t="n"/>
      <c r="T139" s="190" t="n"/>
      <c r="U139" s="190" t="n"/>
      <c r="V139" s="162" t="inlineStr">
        <is>
          <t>CEI DÉA LÚCIA CORDEIRO</t>
        </is>
      </c>
    </row>
    <row r="140" ht="15" customHeight="1" s="163">
      <c r="A140" s="188">
        <f>'CENTRO DE EDUCAÇÃO INFANTIL CAR'!B5</f>
        <v/>
      </c>
      <c r="B140" s="189">
        <f>HYPERLINK("#'CENTRO DE EDUCAÇÃO INFANTIL CAR'!A1",'CENTRO DE EDUCAÇÃO INFANTIL CAR'!B2)</f>
        <v/>
      </c>
      <c r="C140" s="190" t="n"/>
      <c r="D140" s="190" t="n"/>
      <c r="E140" s="190" t="n"/>
      <c r="F140" s="190" t="n"/>
      <c r="G140" s="190" t="n"/>
      <c r="H140" s="190" t="n"/>
      <c r="I140" s="190" t="n"/>
      <c r="J140" s="190" t="n"/>
      <c r="K140" s="190" t="n"/>
      <c r="L140" s="190" t="n"/>
      <c r="M140" s="190" t="n"/>
      <c r="N140" s="190" t="n"/>
      <c r="O140" s="190" t="n"/>
      <c r="P140" s="190" t="n"/>
      <c r="Q140" s="190" t="n"/>
      <c r="R140" s="190" t="n"/>
      <c r="S140" s="323" t="n"/>
      <c r="T140" s="190" t="n"/>
      <c r="U140" s="190" t="n"/>
      <c r="V140" s="162" t="inlineStr">
        <is>
          <t>CENTRO DE EDUCAÇÃO INFANTIL CAR</t>
        </is>
      </c>
    </row>
    <row r="141" ht="15" customHeight="1" s="163">
      <c r="A141" s="188">
        <f>'CEI IRMÃ SILVANA'!B5</f>
        <v/>
      </c>
      <c r="B141" s="189">
        <f>HYPERLINK("#'CEI IRMÃ SILVANA'!A1",'CEI IRMÃ SILVANA'!B2)</f>
        <v/>
      </c>
      <c r="C141" s="190" t="n"/>
      <c r="D141" s="190" t="n"/>
      <c r="E141" s="190" t="n"/>
      <c r="F141" s="190" t="n"/>
      <c r="G141" s="190" t="n"/>
      <c r="H141" s="190" t="n"/>
      <c r="I141" s="190" t="n"/>
      <c r="J141" s="190" t="n"/>
      <c r="K141" s="190" t="n"/>
      <c r="L141" s="190" t="n"/>
      <c r="M141" s="190" t="n"/>
      <c r="N141" s="190" t="n"/>
      <c r="O141" s="190" t="n"/>
      <c r="P141" s="190" t="n"/>
      <c r="Q141" s="190" t="n"/>
      <c r="R141" s="190" t="n"/>
      <c r="S141" s="323" t="n"/>
      <c r="T141" s="190" t="n"/>
      <c r="U141" s="190" t="n"/>
      <c r="V141" s="162" t="inlineStr">
        <is>
          <t>CEI IRMÃ SILVANA</t>
        </is>
      </c>
    </row>
    <row r="142" ht="15" customHeight="1" s="163">
      <c r="A142" s="188">
        <f>'CEI MARLI SOARES FERREIRA NETTO'!B5</f>
        <v/>
      </c>
      <c r="B142" s="189">
        <f>HYPERLINK("#'CEI MARLI SOARES FERREIRA NETTO'!A1",'CEI MARLI SOARES FERREIRA NETTO'!B2)</f>
        <v/>
      </c>
      <c r="C142" s="190" t="n"/>
      <c r="D142" s="190" t="n"/>
      <c r="E142" s="190" t="n"/>
      <c r="F142" s="190" t="n"/>
      <c r="G142" s="190" t="n"/>
      <c r="H142" s="190" t="n"/>
      <c r="I142" s="190" t="n"/>
      <c r="J142" s="190" t="n"/>
      <c r="K142" s="190" t="n"/>
      <c r="L142" s="190" t="n"/>
      <c r="M142" s="190" t="n"/>
      <c r="N142" s="190" t="n"/>
      <c r="O142" s="190" t="n"/>
      <c r="P142" s="190" t="n"/>
      <c r="Q142" s="190" t="n"/>
      <c r="R142" s="190" t="n"/>
      <c r="S142" s="323" t="n"/>
      <c r="T142" s="190" t="n"/>
      <c r="U142" s="190" t="n"/>
      <c r="V142" s="162" t="inlineStr">
        <is>
          <t>CEI MARLI SOARES FERREIRA NETTO</t>
        </is>
      </c>
    </row>
    <row r="143" ht="15" customHeight="1" s="163">
      <c r="A143" s="188">
        <f>'CEI PROFª SONIA REGINA SCUDESE '!B5</f>
        <v/>
      </c>
      <c r="B143" s="189">
        <f>HYPERLINK("#'CEI PROFª SONIA REGINA SCUDESE '!A1",'CEI PROFª SONIA REGINA SCUDESE '!B2)</f>
        <v/>
      </c>
      <c r="C143" s="190" t="n"/>
      <c r="D143" s="190" t="n"/>
      <c r="E143" s="190" t="n"/>
      <c r="F143" s="190" t="n"/>
      <c r="G143" s="190" t="n"/>
      <c r="H143" s="190" t="n"/>
      <c r="I143" s="190" t="n"/>
      <c r="J143" s="190" t="n"/>
      <c r="K143" s="190" t="n"/>
      <c r="L143" s="190" t="n"/>
      <c r="M143" s="190" t="n"/>
      <c r="N143" s="190" t="n"/>
      <c r="O143" s="190" t="n"/>
      <c r="P143" s="190" t="n"/>
      <c r="Q143" s="190" t="n"/>
      <c r="R143" s="190" t="n"/>
      <c r="S143" s="323" t="n"/>
      <c r="T143" s="190" t="n"/>
      <c r="U143" s="190" t="n"/>
      <c r="V143" s="162" t="inlineStr">
        <is>
          <t xml:space="preserve">CEI PROFª SONIA REGINA SCUDESE </t>
        </is>
      </c>
    </row>
    <row r="144" ht="15" customHeight="1" s="163">
      <c r="A144" s="188">
        <f>'CEI DONA ESPERANZA DE BOURBON D'!B5</f>
        <v/>
      </c>
      <c r="B144" s="189">
        <f>HYPERLINK("#'CEI DONA ESPERANZA DE BOURBON D'!A1",'CEI DONA ESPERANZA DE BOURBON D'!B2)</f>
        <v/>
      </c>
      <c r="C144" s="190" t="n"/>
      <c r="D144" s="190" t="n"/>
      <c r="E144" s="190" t="n"/>
      <c r="F144" s="190" t="n"/>
      <c r="G144" s="190" t="n"/>
      <c r="H144" s="190" t="n"/>
      <c r="I144" s="190" t="n"/>
      <c r="J144" s="190" t="n"/>
      <c r="K144" s="190" t="n"/>
      <c r="L144" s="190" t="n"/>
      <c r="M144" s="190" t="n"/>
      <c r="N144" s="190" t="n"/>
      <c r="O144" s="190" t="n"/>
      <c r="P144" s="190" t="n"/>
      <c r="Q144" s="190" t="n"/>
      <c r="R144" s="190" t="n"/>
      <c r="S144" s="323" t="n"/>
      <c r="T144" s="190" t="n"/>
      <c r="U144" s="190" t="n"/>
      <c r="V144" s="162" t="inlineStr">
        <is>
          <t>CEI DONA ESPERANZA DE BOURBON D</t>
        </is>
      </c>
    </row>
    <row r="145" ht="15" customHeight="1" s="163">
      <c r="A145" s="188">
        <f>'CEI PREFEITO SÉRGIO FADEL'!B5</f>
        <v/>
      </c>
      <c r="B145" s="189">
        <f>HYPERLINK("#'CEI PREFEITO SÉRGIO FADEL'!A1",'CEI PREFEITO SÉRGIO FADEL'!B2)</f>
        <v/>
      </c>
      <c r="C145" s="190" t="n"/>
      <c r="D145" s="190" t="n"/>
      <c r="E145" s="190" t="n"/>
      <c r="F145" s="190" t="n"/>
      <c r="G145" s="190" t="n"/>
      <c r="H145" s="190" t="n"/>
      <c r="I145" s="190" t="n"/>
      <c r="J145" s="190" t="n"/>
      <c r="K145" s="190" t="n"/>
      <c r="L145" s="190" t="n"/>
      <c r="M145" s="190" t="n"/>
      <c r="N145" s="190" t="n"/>
      <c r="O145" s="190" t="n"/>
      <c r="P145" s="190" t="n"/>
      <c r="Q145" s="190" t="n"/>
      <c r="R145" s="190" t="n"/>
      <c r="S145" s="323" t="n"/>
      <c r="T145" s="190" t="n"/>
      <c r="U145" s="190" t="n"/>
      <c r="V145" s="162" t="inlineStr">
        <is>
          <t>CEI PREFEITO SÉRGIO FADEL</t>
        </is>
      </c>
    </row>
    <row r="146" ht="15" customHeight="1" s="163">
      <c r="A146" s="188">
        <f>'CEI ANDRÉ REBOUÇAS'!B5</f>
        <v/>
      </c>
      <c r="B146" s="189">
        <f>HYPERLINK("#'CEI ANDRÉ REBOUÇAS'!A1",'CEI ANDRÉ REBOUÇAS'!B2)</f>
        <v/>
      </c>
      <c r="C146" s="190" t="n"/>
      <c r="D146" s="190" t="n"/>
      <c r="E146" s="190" t="n"/>
      <c r="F146" s="190" t="n"/>
      <c r="G146" s="190" t="n"/>
      <c r="H146" s="190" t="n"/>
      <c r="I146" s="190" t="n"/>
      <c r="J146" s="190" t="n"/>
      <c r="K146" s="190" t="n"/>
      <c r="L146" s="190" t="n"/>
      <c r="M146" s="190" t="n"/>
      <c r="N146" s="190" t="n"/>
      <c r="O146" s="190" t="n"/>
      <c r="P146" s="190" t="n"/>
      <c r="Q146" s="190" t="n"/>
      <c r="R146" s="190" t="n"/>
      <c r="S146" s="323" t="n"/>
      <c r="T146" s="190" t="n"/>
      <c r="U146" s="190" t="n"/>
      <c r="V146" s="162" t="inlineStr">
        <is>
          <t>CEI ANDRÉ REBOUÇAS</t>
        </is>
      </c>
    </row>
    <row r="147" ht="15" customHeight="1" s="163">
      <c r="A147" s="188">
        <f>'CENTRO DE EDUCAÇÃO INFANTIL CHI'!B5</f>
        <v/>
      </c>
      <c r="B147" s="189">
        <f>HYPERLINK("#'CENTRO DE EDUCAÇÃO INFANTIL CHI'!A1",'CENTRO DE EDUCAÇÃO INFANTIL CHI'!B2)</f>
        <v/>
      </c>
      <c r="C147" s="190" t="n"/>
      <c r="D147" s="190" t="n"/>
      <c r="E147" s="190" t="n"/>
      <c r="F147" s="190" t="n"/>
      <c r="G147" s="190" t="n"/>
      <c r="H147" s="190" t="n"/>
      <c r="I147" s="190" t="n"/>
      <c r="J147" s="190" t="n"/>
      <c r="K147" s="190" t="n"/>
      <c r="L147" s="190" t="n"/>
      <c r="M147" s="190" t="n"/>
      <c r="N147" s="190" t="n"/>
      <c r="O147" s="190" t="n"/>
      <c r="P147" s="190" t="n"/>
      <c r="Q147" s="190" t="n"/>
      <c r="R147" s="190" t="n"/>
      <c r="S147" s="323" t="n"/>
      <c r="T147" s="190" t="n"/>
      <c r="U147" s="190" t="n"/>
      <c r="V147" s="162" t="inlineStr">
        <is>
          <t>CENTRO DE EDUCAÇÃO INFANTIL CHI</t>
        </is>
      </c>
    </row>
    <row r="148" ht="15" customHeight="1" s="163">
      <c r="A148" s="188">
        <f>'CEI TIA ALICE'!B5</f>
        <v/>
      </c>
      <c r="B148" s="189">
        <f>HYPERLINK("#'CEI TIA ALICE'!A1",'CEI TIA ALICE'!B2)</f>
        <v/>
      </c>
      <c r="C148" s="190" t="n"/>
      <c r="D148" s="190" t="n"/>
      <c r="E148" s="190" t="n"/>
      <c r="F148" s="190" t="n"/>
      <c r="G148" s="190" t="n"/>
      <c r="H148" s="190" t="n"/>
      <c r="I148" s="190" t="n"/>
      <c r="J148" s="190" t="n"/>
      <c r="K148" s="190" t="n"/>
      <c r="L148" s="190" t="n"/>
      <c r="M148" s="190" t="n"/>
      <c r="N148" s="190" t="n"/>
      <c r="O148" s="190" t="n"/>
      <c r="P148" s="190" t="n"/>
      <c r="Q148" s="190" t="n"/>
      <c r="R148" s="190" t="n"/>
      <c r="S148" s="323" t="n"/>
      <c r="T148" s="190" t="n"/>
      <c r="U148" s="190" t="n"/>
      <c r="V148" s="162" t="inlineStr">
        <is>
          <t>CEI TIA ALICE</t>
        </is>
      </c>
    </row>
    <row r="149" ht="15" customHeight="1" s="163">
      <c r="A149" s="188">
        <f>'CEI TERRA SANTA'!B5</f>
        <v/>
      </c>
      <c r="B149" s="189">
        <f>HYPERLINK("#'CEI TERRA SANTA'!A1",'CEI TERRA SANTA'!B2)</f>
        <v/>
      </c>
      <c r="C149" s="190" t="n"/>
      <c r="D149" s="190" t="n"/>
      <c r="E149" s="190" t="n"/>
      <c r="F149" s="190" t="n"/>
      <c r="G149" s="190" t="n"/>
      <c r="H149" s="190" t="n"/>
      <c r="I149" s="190" t="n"/>
      <c r="J149" s="190" t="n"/>
      <c r="K149" s="190" t="n"/>
      <c r="L149" s="190" t="n"/>
      <c r="M149" s="190" t="n"/>
      <c r="N149" s="190" t="n"/>
      <c r="O149" s="190" t="n"/>
      <c r="P149" s="190" t="n"/>
      <c r="Q149" s="190" t="n"/>
      <c r="R149" s="190" t="n"/>
      <c r="S149" s="323" t="n"/>
      <c r="T149" s="190" t="n"/>
      <c r="U149" s="190" t="n"/>
      <c r="V149" s="162" t="inlineStr">
        <is>
          <t>CEI TERRA SANTA</t>
        </is>
      </c>
    </row>
    <row r="150" ht="15" customHeight="1" s="163">
      <c r="A150" s="188">
        <f>'CEI JORGE ROLANDO DA SILVA'!B5</f>
        <v/>
      </c>
      <c r="B150" s="189">
        <f>HYPERLINK("#'CEI JORGE ROLANDO DA SILVA'!A1",'CEI JORGE ROLANDO DA SILVA'!B2)</f>
        <v/>
      </c>
      <c r="C150" s="190" t="n"/>
      <c r="D150" s="190" t="n"/>
      <c r="E150" s="190" t="n"/>
      <c r="F150" s="190" t="n"/>
      <c r="G150" s="190" t="n"/>
      <c r="H150" s="190" t="n"/>
      <c r="I150" s="190" t="n"/>
      <c r="J150" s="190" t="n"/>
      <c r="K150" s="190" t="n"/>
      <c r="L150" s="190" t="n"/>
      <c r="M150" s="190" t="n"/>
      <c r="N150" s="190" t="n"/>
      <c r="O150" s="190" t="n"/>
      <c r="P150" s="190" t="n"/>
      <c r="Q150" s="190" t="n"/>
      <c r="R150" s="190" t="n"/>
      <c r="S150" s="323" t="n"/>
      <c r="T150" s="190" t="n"/>
      <c r="U150" s="190" t="n"/>
      <c r="V150" s="162" t="inlineStr">
        <is>
          <t>CEI JORGE ROLANDO DA SILVA</t>
        </is>
      </c>
    </row>
    <row r="151" ht="15" customHeight="1" s="163">
      <c r="A151" s="188">
        <f>'CEI CARANGOLA'!B5</f>
        <v/>
      </c>
      <c r="B151" s="189">
        <f>HYPERLINK("#'CEI CARANGOLA'!A1",'CEI CARANGOLA'!B2)</f>
        <v/>
      </c>
      <c r="C151" s="190" t="n"/>
      <c r="D151" s="190" t="n"/>
      <c r="E151" s="190" t="n"/>
      <c r="F151" s="190" t="n"/>
      <c r="G151" s="190" t="n"/>
      <c r="H151" s="190" t="n"/>
      <c r="I151" s="190" t="n"/>
      <c r="J151" s="190" t="n"/>
      <c r="K151" s="190" t="n"/>
      <c r="L151" s="190" t="n"/>
      <c r="M151" s="190" t="n"/>
      <c r="N151" s="190" t="n"/>
      <c r="O151" s="190" t="n"/>
      <c r="P151" s="190" t="n"/>
      <c r="Q151" s="190" t="n"/>
      <c r="R151" s="190" t="n"/>
      <c r="S151" s="323" t="n"/>
      <c r="T151" s="190" t="n"/>
      <c r="U151" s="190" t="n"/>
      <c r="V151" s="162" t="inlineStr">
        <is>
          <t>CEI CARANGOLA</t>
        </is>
      </c>
    </row>
    <row r="152" ht="15" customHeight="1" s="163">
      <c r="A152" s="188">
        <f>'CEI CÉLIA LÔBO PAULO'!B5</f>
        <v/>
      </c>
      <c r="B152" s="189">
        <f>HYPERLINK("#'CEI CÉLIA LÔBO PAULO'!A1",'CEI CÉLIA LÔBO PAULO'!B2)</f>
        <v/>
      </c>
      <c r="C152" s="190" t="n"/>
      <c r="D152" s="190" t="n"/>
      <c r="E152" s="190" t="n"/>
      <c r="F152" s="190" t="n"/>
      <c r="G152" s="190" t="n"/>
      <c r="H152" s="190" t="n"/>
      <c r="I152" s="190" t="n"/>
      <c r="J152" s="190" t="n"/>
      <c r="K152" s="190" t="n"/>
      <c r="L152" s="190" t="n"/>
      <c r="M152" s="190" t="n"/>
      <c r="N152" s="190" t="n"/>
      <c r="O152" s="190" t="n"/>
      <c r="P152" s="190" t="n"/>
      <c r="Q152" s="190" t="n"/>
      <c r="R152" s="190" t="n"/>
      <c r="S152" s="323" t="n"/>
      <c r="T152" s="190" t="n"/>
      <c r="U152" s="190" t="n"/>
      <c r="V152" s="162" t="inlineStr">
        <is>
          <t>CEI CÉLIA LÔBO PAULO</t>
        </is>
      </c>
    </row>
    <row r="153" ht="15" customHeight="1" s="163">
      <c r="A153" s="188">
        <f>'CEI LIONS CLUBE DE PETRÓPOLIS'!B5</f>
        <v/>
      </c>
      <c r="B153" s="189">
        <f>HYPERLINK("#'CEI LIONS CLUBE DE PETRÓPOLIS'!A1",'CEI LIONS CLUBE DE PETRÓPOLIS'!B2)</f>
        <v/>
      </c>
      <c r="C153" s="190" t="n"/>
      <c r="D153" s="190" t="n"/>
      <c r="E153" s="190" t="n"/>
      <c r="F153" s="190" t="n"/>
      <c r="G153" s="190" t="n"/>
      <c r="H153" s="190" t="n"/>
      <c r="I153" s="190" t="n"/>
      <c r="J153" s="190" t="n"/>
      <c r="K153" s="190" t="n"/>
      <c r="L153" s="190" t="n"/>
      <c r="M153" s="190" t="n"/>
      <c r="N153" s="190" t="n"/>
      <c r="O153" s="190" t="n"/>
      <c r="P153" s="190" t="n"/>
      <c r="Q153" s="190" t="n"/>
      <c r="R153" s="190" t="n"/>
      <c r="S153" s="323" t="n"/>
      <c r="T153" s="190" t="n"/>
      <c r="U153" s="190" t="n"/>
      <c r="V153" s="162" t="inlineStr">
        <is>
          <t>CEI LIONS CLUBE DE PETRÓPOLIS</t>
        </is>
      </c>
    </row>
    <row r="154" ht="15" customHeight="1" s="163">
      <c r="A154" s="188">
        <f>'CEI PROFª GRAÇA COSTA'!B5</f>
        <v/>
      </c>
      <c r="B154" s="189">
        <f>HYPERLINK("#'CEI PROFª GRAÇA COSTA'!A1",'CEI PROFª GRAÇA COSTA'!B2)</f>
        <v/>
      </c>
      <c r="C154" s="190" t="n"/>
      <c r="D154" s="190" t="n"/>
      <c r="E154" s="190" t="n"/>
      <c r="F154" s="190" t="n"/>
      <c r="G154" s="190" t="n"/>
      <c r="H154" s="190" t="n"/>
      <c r="I154" s="190" t="n"/>
      <c r="J154" s="190" t="n"/>
      <c r="K154" s="190" t="n"/>
      <c r="L154" s="190" t="n"/>
      <c r="M154" s="190" t="n"/>
      <c r="N154" s="190" t="n"/>
      <c r="O154" s="190" t="n"/>
      <c r="P154" s="190" t="n"/>
      <c r="Q154" s="190" t="n"/>
      <c r="R154" s="190" t="n"/>
      <c r="S154" s="323" t="n"/>
      <c r="T154" s="190" t="n"/>
      <c r="U154" s="190" t="n"/>
      <c r="V154" s="162" t="inlineStr">
        <is>
          <t>CEI PROFª GRAÇA COSTA</t>
        </is>
      </c>
    </row>
    <row r="155" ht="15" customHeight="1" s="163">
      <c r="A155" s="188">
        <f>'CEI ANGELA MARIA DA CONCEIÇÃO S'!B5</f>
        <v/>
      </c>
      <c r="B155" s="189">
        <f>HYPERLINK("#'CEI ANGELA MARIA DA CONCEIÇÃO S'!A1",'CEI ANGELA MARIA DA CONCEIÇÃO S'!B2)</f>
        <v/>
      </c>
      <c r="C155" s="190" t="n"/>
      <c r="D155" s="190" t="n"/>
      <c r="E155" s="190" t="n"/>
      <c r="F155" s="190" t="n"/>
      <c r="G155" s="190" t="n"/>
      <c r="H155" s="190" t="n"/>
      <c r="I155" s="190" t="n"/>
      <c r="J155" s="190" t="n"/>
      <c r="K155" s="190" t="n"/>
      <c r="L155" s="190" t="n"/>
      <c r="M155" s="190" t="n"/>
      <c r="N155" s="190" t="n"/>
      <c r="O155" s="190" t="n"/>
      <c r="P155" s="190" t="n"/>
      <c r="Q155" s="190" t="n"/>
      <c r="R155" s="190" t="n"/>
      <c r="S155" s="323" t="n"/>
      <c r="T155" s="190" t="n"/>
      <c r="U155" s="190" t="n"/>
      <c r="V155" s="162" t="inlineStr">
        <is>
          <t>CEI ANGELA MARIA DA CONCEIÇÃO S</t>
        </is>
      </c>
    </row>
    <row r="156" ht="15" customHeight="1" s="163">
      <c r="A156" s="188">
        <f>'CEI LUIZ MARCHIORI'!B5</f>
        <v/>
      </c>
      <c r="B156" s="189">
        <f>HYPERLINK("#'CEI LUIZ MARCHIORI'!A1",'CEI LUIZ MARCHIORI'!B2)</f>
        <v/>
      </c>
      <c r="C156" s="190" t="n"/>
      <c r="D156" s="190" t="n"/>
      <c r="E156" s="190" t="n"/>
      <c r="F156" s="190" t="n"/>
      <c r="G156" s="190" t="n"/>
      <c r="H156" s="190" t="n"/>
      <c r="I156" s="190" t="n"/>
      <c r="J156" s="190" t="n"/>
      <c r="K156" s="190" t="n"/>
      <c r="L156" s="190" t="n"/>
      <c r="M156" s="190" t="n"/>
      <c r="N156" s="190" t="n"/>
      <c r="O156" s="190" t="n"/>
      <c r="P156" s="190" t="n"/>
      <c r="Q156" s="190" t="n"/>
      <c r="R156" s="190" t="n"/>
      <c r="S156" s="323" t="n"/>
      <c r="T156" s="190" t="n"/>
      <c r="U156" s="190" t="n"/>
      <c r="V156" s="162" t="inlineStr">
        <is>
          <t>CEI LUIZ MARCHIORI</t>
        </is>
      </c>
    </row>
    <row r="157" ht="15" customHeight="1" s="163">
      <c r="A157" s="188">
        <f>'CEI PROFª MARLUCE DE SOUZA PEST'!B5</f>
        <v/>
      </c>
      <c r="B157" s="189">
        <f>HYPERLINK("#'CEI PROFª MARLUCE DE SOUZA PEST'!A1",'CEI PROFª MARLUCE DE SOUZA PEST'!B2)</f>
        <v/>
      </c>
      <c r="C157" s="190" t="n"/>
      <c r="D157" s="190" t="n"/>
      <c r="E157" s="190" t="n"/>
      <c r="F157" s="190" t="n"/>
      <c r="G157" s="190" t="n"/>
      <c r="H157" s="190" t="n"/>
      <c r="I157" s="190" t="n"/>
      <c r="J157" s="190" t="n"/>
      <c r="K157" s="190" t="n"/>
      <c r="L157" s="190" t="n"/>
      <c r="M157" s="190" t="n"/>
      <c r="N157" s="190" t="n"/>
      <c r="O157" s="190" t="n"/>
      <c r="P157" s="190" t="n"/>
      <c r="Q157" s="190" t="n"/>
      <c r="R157" s="190" t="n"/>
      <c r="S157" s="323" t="n"/>
      <c r="T157" s="190" t="n"/>
      <c r="U157" s="190" t="n"/>
      <c r="V157" s="162" t="inlineStr">
        <is>
          <t>CEI PROFª MARLUCE DE SOUZA PEST</t>
        </is>
      </c>
    </row>
    <row r="158" ht="15" customHeight="1" s="163">
      <c r="A158" s="188">
        <f>'CEI OLÍVIA MACHADO DA COSTA NOG'!B5</f>
        <v/>
      </c>
      <c r="B158" s="189">
        <f>HYPERLINK("#'CEI OLÍVIA MACHADO DA COSTA NOG'!A1",'CEI OLÍVIA MACHADO DA COSTA NOG'!B2)</f>
        <v/>
      </c>
      <c r="C158" s="190" t="n"/>
      <c r="D158" s="190" t="n"/>
      <c r="E158" s="190" t="n"/>
      <c r="F158" s="190" t="n"/>
      <c r="G158" s="190" t="n"/>
      <c r="H158" s="190" t="n"/>
      <c r="I158" s="190" t="n"/>
      <c r="J158" s="190" t="n"/>
      <c r="K158" s="190" t="n"/>
      <c r="L158" s="190" t="n"/>
      <c r="M158" s="190" t="n"/>
      <c r="N158" s="190" t="n"/>
      <c r="O158" s="190" t="n"/>
      <c r="P158" s="190" t="n"/>
      <c r="Q158" s="190" t="n"/>
      <c r="R158" s="190" t="n"/>
      <c r="S158" s="323" t="n"/>
      <c r="T158" s="190" t="n"/>
      <c r="U158" s="190" t="n"/>
      <c r="V158" s="162" t="inlineStr">
        <is>
          <t>CEI OLÍVIA MACHADO DA COSTA NOG</t>
        </is>
      </c>
    </row>
    <row r="159" ht="15" customHeight="1" s="163">
      <c r="A159" s="188">
        <f>'CEI VILA IPANEMA'!B5</f>
        <v/>
      </c>
      <c r="B159" s="189">
        <f>HYPERLINK("#'CEI VILA IPANEMA'!A1",'CEI VILA IPANEMA'!B2)</f>
        <v/>
      </c>
      <c r="C159" s="190" t="n"/>
      <c r="D159" s="190" t="n"/>
      <c r="E159" s="190" t="n"/>
      <c r="F159" s="190" t="n"/>
      <c r="G159" s="190" t="n"/>
      <c r="H159" s="190" t="n"/>
      <c r="I159" s="190" t="n"/>
      <c r="J159" s="190" t="n"/>
      <c r="K159" s="190" t="n"/>
      <c r="L159" s="190" t="n"/>
      <c r="M159" s="190" t="n"/>
      <c r="N159" s="190" t="n"/>
      <c r="O159" s="190" t="n"/>
      <c r="P159" s="190" t="n"/>
      <c r="Q159" s="190" t="n"/>
      <c r="R159" s="190" t="n"/>
      <c r="S159" s="323" t="n"/>
      <c r="T159" s="190" t="n"/>
      <c r="U159" s="190" t="n"/>
      <c r="V159" s="162" t="inlineStr">
        <is>
          <t>CEI VILA IPANEMA</t>
        </is>
      </c>
    </row>
    <row r="160" ht="15" customHeight="1" s="163">
      <c r="A160" s="188">
        <f>'CEI VILA LEOPOLDINA'!B5</f>
        <v/>
      </c>
      <c r="B160" s="189">
        <f>HYPERLINK("#'CEI VILA LEOPOLDINA'!A1",'CEI VILA LEOPOLDINA'!B2)</f>
        <v/>
      </c>
      <c r="C160" s="190" t="n"/>
      <c r="D160" s="190" t="n"/>
      <c r="E160" s="190" t="n"/>
      <c r="F160" s="190" t="n"/>
      <c r="G160" s="190" t="n"/>
      <c r="H160" s="190" t="n"/>
      <c r="I160" s="190" t="n"/>
      <c r="J160" s="190" t="n"/>
      <c r="K160" s="190" t="n"/>
      <c r="L160" s="190" t="n"/>
      <c r="M160" s="190" t="n"/>
      <c r="N160" s="190" t="n"/>
      <c r="O160" s="190" t="n"/>
      <c r="P160" s="190" t="n"/>
      <c r="Q160" s="190" t="n"/>
      <c r="R160" s="190" t="n"/>
      <c r="S160" s="323" t="n"/>
      <c r="T160" s="190" t="n"/>
      <c r="U160" s="190" t="n"/>
      <c r="V160" s="162" t="inlineStr">
        <is>
          <t>CEI VILA LEOPOLDINA</t>
        </is>
      </c>
    </row>
    <row r="161" ht="15" customHeight="1" s="163">
      <c r="A161" s="188">
        <f>'CENTRO DE EDUCAÇÃO INFANTIL CAS'!B5</f>
        <v/>
      </c>
      <c r="B161" s="189">
        <f>HYPERLINK("#'CENTRO DE EDUCAÇÃO INFANTIL CAS'!A1",'CENTRO DE EDUCAÇÃO INFANTIL CAS'!B2)</f>
        <v/>
      </c>
      <c r="C161" s="190" t="n"/>
      <c r="D161" s="190" t="n"/>
      <c r="E161" s="190" t="n"/>
      <c r="F161" s="190" t="n"/>
      <c r="G161" s="190" t="n"/>
      <c r="H161" s="190" t="n"/>
      <c r="I161" s="190" t="n"/>
      <c r="J161" s="190" t="n"/>
      <c r="K161" s="190" t="n"/>
      <c r="L161" s="190" t="n"/>
      <c r="M161" s="190" t="n"/>
      <c r="N161" s="190" t="n"/>
      <c r="O161" s="190" t="n"/>
      <c r="P161" s="190" t="n"/>
      <c r="Q161" s="190" t="n"/>
      <c r="R161" s="190" t="n"/>
      <c r="S161" s="323" t="n"/>
      <c r="T161" s="190" t="n"/>
      <c r="U161" s="190" t="n"/>
      <c r="V161" s="162" t="inlineStr">
        <is>
          <t>CENTRO DE EDUCAÇÃO INFANTIL CAS</t>
        </is>
      </c>
    </row>
    <row r="162" ht="15" customHeight="1" s="163">
      <c r="A162" s="188">
        <f>'CEI PRIMEIRA INFÂNCIA'!B5</f>
        <v/>
      </c>
      <c r="B162" s="189">
        <f>HYPERLINK("#'CEI PRIMEIRA INFÂNCIA'!A1",'CEI PRIMEIRA INFÂNCIA'!B2)</f>
        <v/>
      </c>
      <c r="C162" s="190" t="n"/>
      <c r="D162" s="190" t="n"/>
      <c r="E162" s="190" t="n"/>
      <c r="F162" s="190" t="n"/>
      <c r="G162" s="190" t="n"/>
      <c r="H162" s="190" t="n"/>
      <c r="I162" s="190" t="n"/>
      <c r="J162" s="190" t="n"/>
      <c r="K162" s="190" t="n"/>
      <c r="L162" s="190" t="n"/>
      <c r="M162" s="190" t="n"/>
      <c r="N162" s="190" t="n"/>
      <c r="O162" s="190" t="n"/>
      <c r="P162" s="190" t="n"/>
      <c r="Q162" s="190" t="n"/>
      <c r="R162" s="190" t="n"/>
      <c r="S162" s="323" t="n"/>
      <c r="T162" s="190" t="n"/>
      <c r="U162" s="190" t="n"/>
      <c r="V162" s="162" t="inlineStr">
        <is>
          <t>CEI PRIMEIRA INFÂNCIA</t>
        </is>
      </c>
    </row>
    <row r="163" ht="15" customHeight="1" s="163">
      <c r="A163" s="188">
        <f>'CEI PROFª DORA KILLER'!B5</f>
        <v/>
      </c>
      <c r="B163" s="189">
        <f>HYPERLINK("#'CEI PROFª DORA KILLER'!A1",'CEI PROFª DORA KILLER'!B2)</f>
        <v/>
      </c>
      <c r="C163" s="190" t="n"/>
      <c r="D163" s="190" t="n"/>
      <c r="E163" s="190" t="n"/>
      <c r="F163" s="190" t="n"/>
      <c r="G163" s="190" t="n"/>
      <c r="H163" s="190" t="n"/>
      <c r="I163" s="190" t="n"/>
      <c r="J163" s="190" t="n"/>
      <c r="K163" s="190" t="n"/>
      <c r="L163" s="190" t="n"/>
      <c r="M163" s="190" t="n"/>
      <c r="N163" s="190" t="n"/>
      <c r="O163" s="190" t="n"/>
      <c r="P163" s="190" t="n"/>
      <c r="Q163" s="190" t="n"/>
      <c r="R163" s="190" t="n"/>
      <c r="S163" s="323" t="n"/>
      <c r="T163" s="190" t="n"/>
      <c r="U163" s="190" t="n"/>
      <c r="V163" s="162" t="inlineStr">
        <is>
          <t>CEI PROFª DORA KILLER</t>
        </is>
      </c>
    </row>
    <row r="164" ht="15" customHeight="1" s="163">
      <c r="A164" s="188">
        <f>'CEI PROFª PATRÍCIA FERREIRA E S'!B5</f>
        <v/>
      </c>
      <c r="B164" s="189">
        <f>HYPERLINK("#'CEI PROFª PATRÍCIA FERREIRA E S'!A1",'CEI PROFª PATRÍCIA FERREIRA E S'!B2)</f>
        <v/>
      </c>
      <c r="C164" s="190" t="n"/>
      <c r="D164" s="190" t="n"/>
      <c r="E164" s="190" t="n"/>
      <c r="F164" s="190" t="n"/>
      <c r="G164" s="190" t="n"/>
      <c r="H164" s="190" t="n"/>
      <c r="I164" s="190" t="n"/>
      <c r="J164" s="190" t="n"/>
      <c r="K164" s="190" t="n"/>
      <c r="L164" s="190" t="n"/>
      <c r="M164" s="190" t="n"/>
      <c r="N164" s="190" t="n"/>
      <c r="O164" s="190" t="n"/>
      <c r="P164" s="190" t="n"/>
      <c r="Q164" s="190" t="n"/>
      <c r="R164" s="190" t="n"/>
      <c r="S164" s="323" t="n"/>
      <c r="T164" s="190" t="n"/>
      <c r="U164" s="190" t="n"/>
      <c r="V164" s="162" t="inlineStr">
        <is>
          <t>CEI PROFª PATRÍCIA FERREIRA E S</t>
        </is>
      </c>
    </row>
    <row r="165" ht="15" customHeight="1" s="163">
      <c r="A165" s="188">
        <f>'CEI DRA ZILDA ARNS NEUMANN'!B5</f>
        <v/>
      </c>
      <c r="B165" s="189">
        <f>HYPERLINK("#'CEI DRA ZILDA ARNS NEUMANN'!A1",'CEI DRA ZILDA ARNS NEUMANN'!B2)</f>
        <v/>
      </c>
      <c r="C165" s="190" t="n"/>
      <c r="D165" s="190" t="n"/>
      <c r="E165" s="190" t="n"/>
      <c r="F165" s="190" t="n"/>
      <c r="G165" s="190" t="n"/>
      <c r="H165" s="190" t="n"/>
      <c r="I165" s="190" t="n"/>
      <c r="J165" s="190" t="n"/>
      <c r="K165" s="190" t="n"/>
      <c r="L165" s="190" t="n"/>
      <c r="M165" s="190" t="n"/>
      <c r="N165" s="190" t="n"/>
      <c r="O165" s="190" t="n"/>
      <c r="P165" s="190" t="n"/>
      <c r="Q165" s="190" t="n"/>
      <c r="R165" s="190" t="n"/>
      <c r="S165" s="323" t="n"/>
      <c r="T165" s="190" t="n"/>
      <c r="U165" s="190" t="n"/>
      <c r="V165" s="162" t="inlineStr">
        <is>
          <t>CEI DRA ZILDA ARNS NEUMANN</t>
        </is>
      </c>
    </row>
    <row r="166" ht="15" customHeight="1" s="163">
      <c r="A166" s="188">
        <f>'CEI DENISE BESSA DE OLIVA MAYA'!B5</f>
        <v/>
      </c>
      <c r="B166" s="189">
        <f>HYPERLINK("#'CEI DENISE BESSA DE OLIVA MAYA'!A1",'CEI DENISE BESSA DE OLIVA MAYA'!B2)</f>
        <v/>
      </c>
      <c r="C166" s="190" t="n"/>
      <c r="D166" s="190" t="n"/>
      <c r="E166" s="190" t="n"/>
      <c r="F166" s="190" t="n"/>
      <c r="G166" s="190" t="n"/>
      <c r="H166" s="190" t="n"/>
      <c r="I166" s="190" t="n"/>
      <c r="J166" s="190" t="n"/>
      <c r="K166" s="190" t="n"/>
      <c r="L166" s="190" t="n"/>
      <c r="M166" s="190" t="n"/>
      <c r="N166" s="190" t="n"/>
      <c r="O166" s="190" t="n"/>
      <c r="P166" s="190" t="n"/>
      <c r="Q166" s="190" t="n"/>
      <c r="R166" s="190" t="n"/>
      <c r="S166" s="323" t="n"/>
      <c r="T166" s="190" t="n"/>
      <c r="U166" s="190" t="n"/>
      <c r="V166" s="162" t="inlineStr">
        <is>
          <t>CEI DENISE BESSA DE OLIVA MAYA</t>
        </is>
      </c>
    </row>
    <row r="167" ht="15" customHeight="1" s="163">
      <c r="A167" s="188">
        <f>'CEI GIUSEPPE-NEVA VOLONTERIO'!B5</f>
        <v/>
      </c>
      <c r="B167" s="189">
        <f>HYPERLINK("#'CEI GIUSEPPE-NEVA VOLONTERIO'!A1",'CEI GIUSEPPE-NEVA VOLONTERIO'!B2)</f>
        <v/>
      </c>
      <c r="C167" s="190" t="n"/>
      <c r="D167" s="190" t="n"/>
      <c r="E167" s="190" t="n"/>
      <c r="F167" s="190" t="n"/>
      <c r="G167" s="190" t="n"/>
      <c r="H167" s="190" t="n"/>
      <c r="I167" s="190" t="n"/>
      <c r="J167" s="190" t="n"/>
      <c r="K167" s="190" t="n"/>
      <c r="L167" s="190" t="n"/>
      <c r="M167" s="190" t="n"/>
      <c r="N167" s="190" t="n"/>
      <c r="O167" s="190" t="n"/>
      <c r="P167" s="190" t="n"/>
      <c r="Q167" s="190" t="n"/>
      <c r="R167" s="190" t="n"/>
      <c r="S167" s="323" t="n"/>
      <c r="T167" s="190" t="n"/>
      <c r="U167" s="190" t="n"/>
      <c r="V167" s="162" t="inlineStr">
        <is>
          <t>CEI GIUSEPPE-NEVA VOLONTERIO</t>
        </is>
      </c>
    </row>
    <row r="168" ht="15" customHeight="1" s="163">
      <c r="A168" s="188">
        <f>'CENTRO DE EDUCAÇÃO INFANTIL LOT'!B5</f>
        <v/>
      </c>
      <c r="B168" s="189">
        <f>HYPERLINK("#'CENTRO DE EDUCAÇÃO INFANTIL LOT'!A1",'CENTRO DE EDUCAÇÃO INFANTIL LOT'!B2)</f>
        <v/>
      </c>
      <c r="C168" s="190" t="n"/>
      <c r="D168" s="190" t="n"/>
      <c r="E168" s="190" t="n"/>
      <c r="F168" s="190" t="n"/>
      <c r="G168" s="190" t="n"/>
      <c r="H168" s="190" t="n"/>
      <c r="I168" s="190" t="n"/>
      <c r="J168" s="190" t="n"/>
      <c r="K168" s="190" t="n"/>
      <c r="L168" s="190" t="n"/>
      <c r="M168" s="190" t="n"/>
      <c r="N168" s="190" t="n"/>
      <c r="O168" s="190" t="n"/>
      <c r="P168" s="190" t="n"/>
      <c r="Q168" s="190" t="n"/>
      <c r="R168" s="190" t="n"/>
      <c r="S168" s="323" t="n"/>
      <c r="T168" s="190" t="n"/>
      <c r="U168" s="190" t="n"/>
      <c r="V168" s="162" t="inlineStr">
        <is>
          <t>CENTRO DE EDUCAÇÃO INFANTIL LOT</t>
        </is>
      </c>
    </row>
    <row r="169" ht="15" customHeight="1" s="163">
      <c r="A169" s="188">
        <f>'CEI IRINEU MARINHO'!B5</f>
        <v/>
      </c>
      <c r="B169" s="189">
        <f>HYPERLINK("#'CEI IRINEU MARINHO'!A1",'CEI IRINEU MARINHO'!B2)</f>
        <v/>
      </c>
      <c r="C169" s="190" t="n"/>
      <c r="D169" s="190" t="n"/>
      <c r="E169" s="190" t="n"/>
      <c r="F169" s="190" t="n"/>
      <c r="G169" s="190" t="n"/>
      <c r="H169" s="190" t="n"/>
      <c r="I169" s="190" t="n"/>
      <c r="J169" s="190" t="n"/>
      <c r="K169" s="190" t="n"/>
      <c r="L169" s="190" t="n"/>
      <c r="M169" s="190" t="n"/>
      <c r="N169" s="190" t="n"/>
      <c r="O169" s="190" t="n"/>
      <c r="P169" s="190" t="n"/>
      <c r="Q169" s="190" t="n"/>
      <c r="R169" s="190" t="n"/>
      <c r="S169" s="323" t="n"/>
      <c r="T169" s="190" t="n"/>
      <c r="U169" s="190" t="n"/>
      <c r="V169" s="162" t="inlineStr">
        <is>
          <t>CEI IRINEU MARINHO</t>
        </is>
      </c>
    </row>
    <row r="170" ht="15" customHeight="1" s="163">
      <c r="A170" s="188">
        <f>'CEI OSWALDO CRUZ'!B5</f>
        <v/>
      </c>
      <c r="B170" s="189">
        <f>HYPERLINK("#'CEI OSWALDO CRUZ'!A1",'CEI OSWALDO CRUZ'!B2)</f>
        <v/>
      </c>
      <c r="C170" s="190" t="n"/>
      <c r="D170" s="190" t="n"/>
      <c r="E170" s="190" t="n"/>
      <c r="F170" s="190" t="n"/>
      <c r="G170" s="190" t="n"/>
      <c r="H170" s="190" t="n"/>
      <c r="I170" s="190" t="n"/>
      <c r="J170" s="190" t="n"/>
      <c r="K170" s="190" t="n"/>
      <c r="L170" s="190" t="n"/>
      <c r="M170" s="190" t="n"/>
      <c r="N170" s="190" t="n"/>
      <c r="O170" s="190" t="n"/>
      <c r="P170" s="190" t="n"/>
      <c r="Q170" s="190" t="n"/>
      <c r="R170" s="190" t="n"/>
      <c r="S170" s="323" t="n"/>
      <c r="T170" s="190" t="n"/>
      <c r="U170" s="190" t="n"/>
      <c r="V170" s="162" t="inlineStr">
        <is>
          <t>CEI OSWALDO CRUZ</t>
        </is>
      </c>
    </row>
    <row r="171" ht="15" customHeight="1" s="163">
      <c r="A171" s="188">
        <f>'CEI ANA CAROLINA TELLES'!B5</f>
        <v/>
      </c>
      <c r="B171" s="189">
        <f>HYPERLINK("#'CEI ANA CAROLINA TELLES'!A1",'CEI ANA CAROLINA TELLES'!B2)</f>
        <v/>
      </c>
      <c r="C171" s="190" t="n"/>
      <c r="D171" s="190" t="n"/>
      <c r="E171" s="190" t="n"/>
      <c r="F171" s="190" t="n"/>
      <c r="G171" s="190" t="n"/>
      <c r="H171" s="190" t="n"/>
      <c r="I171" s="190" t="n"/>
      <c r="J171" s="190" t="n"/>
      <c r="K171" s="190" t="n"/>
      <c r="L171" s="190" t="n"/>
      <c r="M171" s="190" t="n"/>
      <c r="N171" s="190" t="n"/>
      <c r="O171" s="190" t="n"/>
      <c r="P171" s="190" t="n"/>
      <c r="Q171" s="190" t="n"/>
      <c r="R171" s="190" t="n"/>
      <c r="S171" s="323" t="n"/>
      <c r="T171" s="190" t="n"/>
      <c r="U171" s="190" t="n"/>
      <c r="V171" s="162" t="inlineStr">
        <is>
          <t>CEI ANA CAROLINA TELLES</t>
        </is>
      </c>
    </row>
    <row r="172" ht="15" customHeight="1" s="163">
      <c r="A172" s="188">
        <f>'CEI JOSÉ GONÇALVES DA MOTTA'!B5</f>
        <v/>
      </c>
      <c r="B172" s="189">
        <f>HYPERLINK("#'CEI JOSÉ GONÇALVES DA MOTTA'!A1",'CEI JOSÉ GONÇALVES DA MOTTA'!B2)</f>
        <v/>
      </c>
      <c r="C172" s="190" t="n"/>
      <c r="D172" s="190" t="n"/>
      <c r="E172" s="190" t="n"/>
      <c r="F172" s="190" t="n"/>
      <c r="G172" s="190" t="n"/>
      <c r="H172" s="190" t="n"/>
      <c r="I172" s="190" t="n"/>
      <c r="J172" s="190" t="n"/>
      <c r="K172" s="190" t="n"/>
      <c r="L172" s="190" t="n"/>
      <c r="M172" s="190" t="n"/>
      <c r="N172" s="190" t="n"/>
      <c r="O172" s="190" t="n"/>
      <c r="P172" s="190" t="n"/>
      <c r="Q172" s="190" t="n"/>
      <c r="R172" s="190" t="n"/>
      <c r="S172" s="323" t="n"/>
      <c r="T172" s="190" t="n"/>
      <c r="U172" s="190" t="n"/>
      <c r="V172" s="162" t="inlineStr">
        <is>
          <t>CEI JOSÉ GONÇALVES DA MOTTA</t>
        </is>
      </c>
    </row>
    <row r="173" ht="15" customHeight="1" s="163">
      <c r="A173" s="188">
        <f>'CEI SAGRADA FAMÍLIA'!B5</f>
        <v/>
      </c>
      <c r="B173" s="189">
        <f>HYPERLINK("#'CEI SAGRADA FAMÍLIA'!A1",'CEI SAGRADA FAMÍLIA'!B2)</f>
        <v/>
      </c>
      <c r="C173" s="190" t="n"/>
      <c r="D173" s="190" t="n"/>
      <c r="E173" s="190" t="n"/>
      <c r="F173" s="190" t="n"/>
      <c r="G173" s="190" t="n"/>
      <c r="H173" s="190" t="n"/>
      <c r="I173" s="190" t="n"/>
      <c r="J173" s="190" t="n"/>
      <c r="K173" s="190" t="n"/>
      <c r="L173" s="190" t="n"/>
      <c r="M173" s="190" t="n"/>
      <c r="N173" s="190" t="n"/>
      <c r="O173" s="190" t="n"/>
      <c r="P173" s="190" t="n"/>
      <c r="Q173" s="190" t="n"/>
      <c r="R173" s="190" t="n"/>
      <c r="S173" s="323" t="n"/>
      <c r="T173" s="190" t="n"/>
      <c r="U173" s="190" t="n"/>
      <c r="V173" s="162" t="inlineStr">
        <is>
          <t>CEI SAGRADA FAMÍLIA</t>
        </is>
      </c>
    </row>
    <row r="174" ht="15" customHeight="1" s="163">
      <c r="A174" s="188">
        <f>'CEI PROFª HERMÍNIA MATHEUS'!B5</f>
        <v/>
      </c>
      <c r="B174" s="189">
        <f>HYPERLINK("#'CEI PROFª HERMÍNIA MATHEUS'!A1",'CEI PROFª HERMÍNIA MATHEUS'!B2)</f>
        <v/>
      </c>
      <c r="C174" s="190" t="n"/>
      <c r="D174" s="190" t="n"/>
      <c r="E174" s="190" t="n"/>
      <c r="F174" s="190" t="n"/>
      <c r="G174" s="190" t="n"/>
      <c r="H174" s="190" t="n"/>
      <c r="I174" s="190" t="n"/>
      <c r="J174" s="190" t="n"/>
      <c r="K174" s="190" t="n"/>
      <c r="L174" s="190" t="n"/>
      <c r="M174" s="190" t="n"/>
      <c r="N174" s="190" t="n"/>
      <c r="O174" s="190" t="n"/>
      <c r="P174" s="190" t="n"/>
      <c r="Q174" s="190" t="n"/>
      <c r="R174" s="190" t="n"/>
      <c r="S174" s="323" t="n"/>
      <c r="T174" s="190" t="n"/>
      <c r="U174" s="190" t="n"/>
      <c r="V174" s="162" t="inlineStr">
        <is>
          <t>CEI PROFª HERMÍNIA MATHEUS</t>
        </is>
      </c>
    </row>
    <row r="175" ht="15" customHeight="1" s="163">
      <c r="A175" s="188">
        <f>'CENTRO DE EDUCAÇÃO INFANTIL PRO'!B5</f>
        <v/>
      </c>
      <c r="B175" s="189">
        <f>HYPERLINK("#'CENTRO DE EDUCAÇÃO INFANTIL PRO'!A1",'CENTRO DE EDUCAÇÃO INFANTIL PRO'!B2)</f>
        <v/>
      </c>
      <c r="C175" s="190" t="n"/>
      <c r="D175" s="190" t="n"/>
      <c r="E175" s="190" t="n"/>
      <c r="F175" s="190" t="n"/>
      <c r="G175" s="190" t="n"/>
      <c r="H175" s="190" t="n"/>
      <c r="I175" s="190" t="n"/>
      <c r="J175" s="190" t="n"/>
      <c r="K175" s="190" t="n"/>
      <c r="L175" s="190" t="n"/>
      <c r="M175" s="190" t="n"/>
      <c r="N175" s="190" t="n"/>
      <c r="O175" s="190" t="n"/>
      <c r="P175" s="190" t="n"/>
      <c r="Q175" s="190" t="n"/>
      <c r="R175" s="190" t="n"/>
      <c r="S175" s="323" t="n"/>
      <c r="T175" s="190" t="n"/>
      <c r="U175" s="190" t="n"/>
      <c r="V175" s="162" t="inlineStr">
        <is>
          <t>CENTRO DE EDUCAÇÃO INFANTIL PRO</t>
        </is>
      </c>
    </row>
    <row r="176" ht="15" customHeight="1" s="163">
      <c r="A176" s="188">
        <f>'CEI MONSENHOR PAULO ELIAS DAHER'!B5</f>
        <v/>
      </c>
      <c r="B176" s="189">
        <f>HYPERLINK("#'CEI MONSENHOR PAULO ELIAS DAHER'!A1",'CEI MONSENHOR PAULO ELIAS DAHER'!B2)</f>
        <v/>
      </c>
      <c r="C176" s="190" t="n"/>
      <c r="D176" s="190" t="n"/>
      <c r="E176" s="190" t="n"/>
      <c r="F176" s="190" t="n"/>
      <c r="G176" s="190" t="n"/>
      <c r="H176" s="190" t="n"/>
      <c r="I176" s="190" t="n"/>
      <c r="J176" s="190" t="n"/>
      <c r="K176" s="190" t="n"/>
      <c r="L176" s="190" t="n"/>
      <c r="M176" s="190" t="n"/>
      <c r="N176" s="190" t="n"/>
      <c r="O176" s="190" t="n"/>
      <c r="P176" s="190" t="n"/>
      <c r="Q176" s="190" t="n"/>
      <c r="R176" s="190" t="n"/>
      <c r="S176" s="323" t="n"/>
      <c r="T176" s="190" t="n"/>
      <c r="U176" s="190" t="n"/>
      <c r="V176" s="162" t="inlineStr">
        <is>
          <t>CEI MONSENHOR PAULO ELIAS DAHER</t>
        </is>
      </c>
    </row>
    <row r="177" ht="15" customHeight="1" s="163">
      <c r="A177" s="188">
        <f>'CEI DAGMAR ROLANDO DE OLIVEIRA'!B5</f>
        <v/>
      </c>
      <c r="B177" s="189">
        <f>HYPERLINK("#'CEI DAGMAR ROLANDO DE OLIVEIRA'!A1",'CEI DAGMAR ROLANDO DE OLIVEIRA'!B2)</f>
        <v/>
      </c>
      <c r="C177" s="190" t="n"/>
      <c r="D177" s="190" t="n"/>
      <c r="E177" s="190" t="n"/>
      <c r="F177" s="190" t="n"/>
      <c r="G177" s="190" t="n"/>
      <c r="H177" s="190" t="n"/>
      <c r="I177" s="190" t="n"/>
      <c r="J177" s="190" t="n"/>
      <c r="K177" s="190" t="n"/>
      <c r="L177" s="190" t="n"/>
      <c r="M177" s="190" t="n"/>
      <c r="N177" s="190" t="n"/>
      <c r="O177" s="190" t="n"/>
      <c r="P177" s="190" t="n"/>
      <c r="Q177" s="190" t="n"/>
      <c r="R177" s="190" t="n"/>
      <c r="S177" s="323" t="n"/>
      <c r="T177" s="190" t="n"/>
      <c r="U177" s="190" t="n"/>
      <c r="V177" s="162" t="inlineStr">
        <is>
          <t>CEI DAGMAR ROLANDO DE OLIVEIRA</t>
        </is>
      </c>
    </row>
    <row r="178" ht="15" customHeight="1" s="163">
      <c r="A178" s="188">
        <f>'CENTRO DE EDUCAÇÃO INFANTIL  2'!B5</f>
        <v/>
      </c>
      <c r="B178" s="189">
        <f>HYPERLINK("#'CENTRO DE EDUCAÇÃO INFANTIL  2'!A1",'CENTRO DE EDUCAÇÃO INFANTIL  2'!B2)</f>
        <v/>
      </c>
      <c r="C178" s="190" t="n"/>
      <c r="D178" s="190" t="n"/>
      <c r="E178" s="190" t="n"/>
      <c r="F178" s="190" t="n"/>
      <c r="G178" s="190" t="n"/>
      <c r="H178" s="190" t="n"/>
      <c r="I178" s="190" t="n"/>
      <c r="J178" s="190" t="n"/>
      <c r="K178" s="190" t="n"/>
      <c r="L178" s="190" t="n"/>
      <c r="M178" s="190" t="n"/>
      <c r="N178" s="190" t="n"/>
      <c r="O178" s="190" t="n"/>
      <c r="P178" s="190" t="n"/>
      <c r="Q178" s="190" t="n"/>
      <c r="R178" s="190" t="n"/>
      <c r="S178" s="323" t="n"/>
      <c r="T178" s="190" t="n"/>
      <c r="U178" s="190" t="n"/>
      <c r="V178" s="162" t="inlineStr">
        <is>
          <t>CENTRO DE EDUCAÇÃO INFANTIL  2</t>
        </is>
      </c>
    </row>
    <row r="179" ht="15" customHeight="1" s="163">
      <c r="A179" s="188">
        <f>'CEI BOA VISTA'!B5</f>
        <v/>
      </c>
      <c r="B179" s="189">
        <f>HYPERLINK("#'CEI BOA VISTA'!A1",'CEI BOA VISTA'!B2)</f>
        <v/>
      </c>
      <c r="C179" s="190" t="n"/>
      <c r="D179" s="190" t="n"/>
      <c r="E179" s="190" t="n"/>
      <c r="F179" s="190" t="n"/>
      <c r="G179" s="190" t="n"/>
      <c r="H179" s="190" t="n"/>
      <c r="I179" s="190" t="n"/>
      <c r="J179" s="190" t="n"/>
      <c r="K179" s="190" t="n"/>
      <c r="L179" s="190" t="n"/>
      <c r="M179" s="190" t="n"/>
      <c r="N179" s="190" t="n"/>
      <c r="O179" s="190" t="n"/>
      <c r="P179" s="190" t="n"/>
      <c r="Q179" s="190" t="n"/>
      <c r="R179" s="190" t="n"/>
      <c r="S179" s="323" t="n"/>
      <c r="T179" s="190" t="n"/>
      <c r="U179" s="190" t="n"/>
      <c r="V179" s="162" t="inlineStr">
        <is>
          <t>CEI BOA VISTA</t>
        </is>
      </c>
    </row>
    <row r="180" ht="15" customHeight="1" s="163">
      <c r="A180" s="188">
        <f>'CEI NILO PEÇANHA'!B5</f>
        <v/>
      </c>
      <c r="B180" s="189">
        <f>HYPERLINK("#'CEI NILO PEÇANHA'!A1",'CEI NILO PEÇANHA'!B2)</f>
        <v/>
      </c>
      <c r="C180" s="190" t="n"/>
      <c r="D180" s="190" t="n"/>
      <c r="E180" s="190" t="n"/>
      <c r="F180" s="190" t="n"/>
      <c r="G180" s="190" t="n"/>
      <c r="H180" s="190" t="n"/>
      <c r="I180" s="190" t="n"/>
      <c r="J180" s="190" t="n"/>
      <c r="K180" s="190" t="n"/>
      <c r="L180" s="190" t="n"/>
      <c r="M180" s="190" t="n"/>
      <c r="N180" s="190" t="n"/>
      <c r="O180" s="190" t="n"/>
      <c r="P180" s="190" t="n"/>
      <c r="Q180" s="190" t="n"/>
      <c r="R180" s="190" t="n"/>
      <c r="S180" s="323" t="n"/>
      <c r="T180" s="190" t="n"/>
      <c r="U180" s="190" t="n"/>
      <c r="V180" s="162" t="inlineStr">
        <is>
          <t>CEI NILO PEÇANHA</t>
        </is>
      </c>
    </row>
    <row r="181" ht="15" customHeight="1" s="163">
      <c r="A181" s="188">
        <f>'CENTRO DE EDUCAÇÃO INFANTIL AUG'!B5</f>
        <v/>
      </c>
      <c r="B181" s="189">
        <f>HYPERLINK("#'CENTRO DE EDUCAÇÃO INFANTIL AUG'!A1",'CENTRO DE EDUCAÇÃO INFANTIL AUG'!B2)</f>
        <v/>
      </c>
      <c r="C181" s="190" t="n"/>
      <c r="D181" s="190" t="n"/>
      <c r="E181" s="190" t="n"/>
      <c r="F181" s="190" t="n"/>
      <c r="G181" s="190" t="n"/>
      <c r="H181" s="190" t="n"/>
      <c r="I181" s="190" t="n"/>
      <c r="J181" s="190" t="n"/>
      <c r="K181" s="190" t="n"/>
      <c r="L181" s="190" t="n"/>
      <c r="M181" s="190" t="n"/>
      <c r="N181" s="190" t="n"/>
      <c r="O181" s="190" t="n"/>
      <c r="P181" s="190" t="n"/>
      <c r="Q181" s="190" t="n"/>
      <c r="R181" s="190" t="n"/>
      <c r="S181" s="323" t="n"/>
      <c r="T181" s="190" t="n"/>
      <c r="U181" s="190" t="n"/>
      <c r="V181" s="162" t="inlineStr">
        <is>
          <t>CENTRO DE EDUCAÇÃO INFANTIL AUG</t>
        </is>
      </c>
    </row>
    <row r="182" ht="15" customHeight="1" s="163">
      <c r="A182" s="188">
        <f>'CEI THEREZINHA DE JESUS LIMA'!B5</f>
        <v/>
      </c>
      <c r="B182" s="189">
        <f>HYPERLINK("#'CEI THEREZINHA DE JESUS LIMA'!A1",'CEI THEREZINHA DE JESUS LIMA'!B2)</f>
        <v/>
      </c>
      <c r="C182" s="190" t="n"/>
      <c r="D182" s="190" t="n"/>
      <c r="E182" s="190" t="n"/>
      <c r="F182" s="190" t="n"/>
      <c r="G182" s="190" t="n"/>
      <c r="H182" s="190" t="n"/>
      <c r="I182" s="190" t="n"/>
      <c r="J182" s="190" t="n"/>
      <c r="K182" s="190" t="n"/>
      <c r="L182" s="190" t="n"/>
      <c r="M182" s="190" t="n"/>
      <c r="N182" s="190" t="n"/>
      <c r="O182" s="190" t="n"/>
      <c r="P182" s="190" t="n"/>
      <c r="Q182" s="190" t="n"/>
      <c r="R182" s="190" t="n"/>
      <c r="S182" s="323" t="n"/>
      <c r="T182" s="190" t="n"/>
      <c r="U182" s="190" t="n"/>
      <c r="V182" s="162" t="inlineStr">
        <is>
          <t>CEI THEREZINHA DE JESUS LIMA</t>
        </is>
      </c>
    </row>
    <row r="183" ht="15" customHeight="1" s="163">
      <c r="A183" s="188">
        <f>'CEI VIDEIRINHA'!B5</f>
        <v/>
      </c>
      <c r="B183" s="189">
        <f>HYPERLINK("#'CEI VIDEIRINHA'!A1",'CEI VIDEIRINHA'!B2)</f>
        <v/>
      </c>
      <c r="C183" s="190" t="n"/>
      <c r="D183" s="190" t="n"/>
      <c r="E183" s="190" t="n"/>
      <c r="F183" s="190" t="n"/>
      <c r="G183" s="190" t="n"/>
      <c r="H183" s="190" t="n"/>
      <c r="I183" s="190" t="n"/>
      <c r="J183" s="190" t="n"/>
      <c r="K183" s="190" t="n"/>
      <c r="L183" s="190" t="n"/>
      <c r="M183" s="190" t="n"/>
      <c r="N183" s="190" t="n"/>
      <c r="O183" s="190" t="n"/>
      <c r="P183" s="190" t="n"/>
      <c r="Q183" s="190" t="n"/>
      <c r="R183" s="190" t="n"/>
      <c r="S183" s="323" t="n"/>
      <c r="T183" s="190" t="n"/>
      <c r="U183" s="190" t="n"/>
      <c r="V183" s="162" t="inlineStr">
        <is>
          <t>CEI VIDEIRINHA</t>
        </is>
      </c>
    </row>
    <row r="184" ht="15" customHeight="1" s="163">
      <c r="A184" s="188">
        <f>'CEI PROFª ADRIANA CONSTÂNCIO TR'!B5</f>
        <v/>
      </c>
      <c r="B184" s="189">
        <f>HYPERLINK("#'CEI PROFª ADRIANA CONSTÂNCIO TR'!A1",'CEI PROFª ADRIANA CONSTÂNCIO TR'!B2)</f>
        <v/>
      </c>
      <c r="C184" s="190" t="n"/>
      <c r="D184" s="190" t="n"/>
      <c r="E184" s="190" t="n"/>
      <c r="F184" s="190" t="n"/>
      <c r="G184" s="190" t="n"/>
      <c r="H184" s="190" t="n"/>
      <c r="I184" s="190" t="n"/>
      <c r="J184" s="190" t="n"/>
      <c r="K184" s="190" t="n"/>
      <c r="L184" s="190" t="n"/>
      <c r="M184" s="190" t="n"/>
      <c r="N184" s="190" t="n"/>
      <c r="O184" s="190" t="n"/>
      <c r="P184" s="190" t="n"/>
      <c r="Q184" s="190" t="n"/>
      <c r="R184" s="190" t="n"/>
      <c r="S184" s="323" t="n"/>
      <c r="T184" s="190" t="n"/>
      <c r="U184" s="190" t="n"/>
      <c r="V184" s="162" t="inlineStr">
        <is>
          <t>CEI PROFª ADRIANA CONSTÂNCIO TR</t>
        </is>
      </c>
    </row>
    <row r="185" ht="15" customHeight="1" s="163">
      <c r="A185" s="188">
        <f>'CENTRO DE EDUCAÇÃO INFANTIL SÉR'!B5</f>
        <v/>
      </c>
      <c r="B185" s="189">
        <f>HYPERLINK("#'CENTRO DE EDUCAÇÃO INFANTIL SÉR'!A1",'CENTRO DE EDUCAÇÃO INFANTIL SÉR'!B2)</f>
        <v/>
      </c>
      <c r="C185" s="190" t="n"/>
      <c r="D185" s="190" t="n"/>
      <c r="E185" s="190" t="n"/>
      <c r="F185" s="190" t="n"/>
      <c r="G185" s="190" t="n"/>
      <c r="H185" s="190" t="n"/>
      <c r="I185" s="190" t="n"/>
      <c r="J185" s="190" t="n"/>
      <c r="K185" s="190" t="n"/>
      <c r="L185" s="190" t="n"/>
      <c r="M185" s="190" t="n"/>
      <c r="N185" s="190" t="n"/>
      <c r="O185" s="190" t="n"/>
      <c r="P185" s="190" t="n"/>
      <c r="Q185" s="190" t="n"/>
      <c r="R185" s="190" t="n"/>
      <c r="S185" s="323" t="n"/>
      <c r="T185" s="190" t="n"/>
      <c r="U185" s="190" t="n"/>
      <c r="V185" s="162" t="inlineStr">
        <is>
          <t>CENTRO DE EDUCAÇÃO INFANTIL SÉR</t>
        </is>
      </c>
    </row>
    <row r="186" ht="15" customHeight="1" s="163">
      <c r="A186" s="188">
        <f>'CEI JURACI PINTO DO AMARAL DE C'!B5</f>
        <v/>
      </c>
      <c r="B186" s="189">
        <f>HYPERLINK("#'CEI JURACI PINTO DO AMARAL DE C'!A1",'CEI JURACI PINTO DO AMARAL DE C'!B2)</f>
        <v/>
      </c>
      <c r="C186" s="190" t="n"/>
      <c r="D186" s="190" t="n"/>
      <c r="E186" s="190" t="n"/>
      <c r="F186" s="190" t="n"/>
      <c r="G186" s="190" t="n"/>
      <c r="H186" s="190" t="n"/>
      <c r="I186" s="190" t="n"/>
      <c r="J186" s="190" t="n"/>
      <c r="K186" s="190" t="n"/>
      <c r="L186" s="190" t="n"/>
      <c r="M186" s="190" t="n"/>
      <c r="N186" s="190" t="n"/>
      <c r="O186" s="190" t="n"/>
      <c r="P186" s="190" t="n"/>
      <c r="Q186" s="190" t="n"/>
      <c r="R186" s="190" t="n"/>
      <c r="S186" s="323" t="n"/>
      <c r="T186" s="190" t="n"/>
      <c r="U186" s="190" t="n"/>
      <c r="V186" s="162" t="inlineStr">
        <is>
          <t>CEI JURACI PINTO DO AMARAL DE C</t>
        </is>
      </c>
    </row>
    <row r="187" ht="15" customHeight="1" s="163">
      <c r="A187" s="188">
        <f>'CEI NOSSA SENHORA DA GLÓRIA'!B5</f>
        <v/>
      </c>
      <c r="B187" s="189">
        <f>HYPERLINK("#'CEI NOSSA SENHORA DA GLÓRIA'!A1",'CEI NOSSA SENHORA DA GLÓRIA'!B2)</f>
        <v/>
      </c>
      <c r="C187" s="190" t="n"/>
      <c r="D187" s="190" t="n"/>
      <c r="E187" s="190" t="n"/>
      <c r="F187" s="190" t="n"/>
      <c r="G187" s="190" t="n"/>
      <c r="H187" s="190" t="n"/>
      <c r="I187" s="190" t="n"/>
      <c r="J187" s="190" t="n"/>
      <c r="K187" s="190" t="n"/>
      <c r="L187" s="190" t="n"/>
      <c r="M187" s="190" t="n"/>
      <c r="N187" s="190" t="n"/>
      <c r="O187" s="190" t="n"/>
      <c r="P187" s="190" t="n"/>
      <c r="Q187" s="190" t="n"/>
      <c r="R187" s="190" t="n"/>
      <c r="S187" s="323" t="n"/>
      <c r="T187" s="190" t="n"/>
      <c r="U187" s="190" t="n"/>
      <c r="V187" s="162" t="inlineStr">
        <is>
          <t>CEI NOSSA SENHORA DA GLÓRIA</t>
        </is>
      </c>
    </row>
    <row r="188" ht="15" customHeight="1" s="163">
      <c r="A188" s="188">
        <f>'CEI ALTO INDEPENDÊNCIA'!B5</f>
        <v/>
      </c>
      <c r="B188" s="189">
        <f>HYPERLINK("#'CEI ALTO INDEPENDÊNCIA'!A1",'CEI ALTO INDEPENDÊNCIA'!B2)</f>
        <v/>
      </c>
      <c r="C188" s="190" t="n"/>
      <c r="D188" s="190" t="n"/>
      <c r="E188" s="190" t="n"/>
      <c r="F188" s="190" t="n"/>
      <c r="G188" s="190" t="n"/>
      <c r="H188" s="190" t="n"/>
      <c r="I188" s="190" t="n"/>
      <c r="J188" s="190" t="n"/>
      <c r="K188" s="190" t="n"/>
      <c r="L188" s="190" t="n"/>
      <c r="M188" s="190" t="n"/>
      <c r="N188" s="190" t="n"/>
      <c r="O188" s="190" t="n"/>
      <c r="P188" s="190" t="n"/>
      <c r="Q188" s="190" t="n"/>
      <c r="R188" s="190" t="n"/>
      <c r="S188" s="323" t="n"/>
      <c r="T188" s="190" t="n"/>
      <c r="U188" s="190" t="n"/>
      <c r="V188" s="162" t="inlineStr">
        <is>
          <t>CEI ALTO INDEPENDÊNCIA</t>
        </is>
      </c>
    </row>
    <row r="189" ht="15" customHeight="1" s="163">
      <c r="A189" s="188">
        <f>'CEI SÃO JOSÉ DAS OBLATAS DE NAZ'!B5</f>
        <v/>
      </c>
      <c r="B189" s="189">
        <f>HYPERLINK("#'CEI SÃO JOSÉ DAS OBLATAS DE NAZ'!A1",'CEI SÃO JOSÉ DAS OBLATAS DE NAZ'!B2)</f>
        <v/>
      </c>
      <c r="C189" s="190" t="n"/>
      <c r="D189" s="190" t="n"/>
      <c r="E189" s="190" t="n"/>
      <c r="F189" s="190" t="n"/>
      <c r="G189" s="190" t="n"/>
      <c r="H189" s="190" t="n"/>
      <c r="I189" s="190" t="n"/>
      <c r="J189" s="190" t="n"/>
      <c r="K189" s="190" t="n"/>
      <c r="L189" s="190" t="n"/>
      <c r="M189" s="190" t="n"/>
      <c r="N189" s="190" t="n"/>
      <c r="O189" s="190" t="n"/>
      <c r="P189" s="190" t="n"/>
      <c r="Q189" s="190" t="n"/>
      <c r="R189" s="190" t="n"/>
      <c r="S189" s="323" t="n"/>
      <c r="T189" s="190" t="n"/>
      <c r="U189" s="190" t="n"/>
      <c r="V189" s="162" t="inlineStr">
        <is>
          <t>CEI SÃO JOSÉ DAS OBLATAS DE NAZ</t>
        </is>
      </c>
    </row>
    <row r="190" ht="15" customHeight="1" s="163">
      <c r="A190" s="188">
        <f>'CEI SANTO ANTÔNIO AGOSTINHO'!B5</f>
        <v/>
      </c>
      <c r="B190" s="189">
        <f>HYPERLINK("#'CEI SANTO ANTÔNIO AGOSTINHO'!A1",'CEI SANTO ANTÔNIO AGOSTINHO'!B2)</f>
        <v/>
      </c>
      <c r="C190" s="190" t="n"/>
      <c r="D190" s="190" t="n"/>
      <c r="E190" s="190" t="n"/>
      <c r="F190" s="190" t="n"/>
      <c r="G190" s="190" t="n"/>
      <c r="H190" s="190" t="n"/>
      <c r="I190" s="190" t="n"/>
      <c r="J190" s="190" t="n"/>
      <c r="K190" s="190" t="n"/>
      <c r="L190" s="190" t="n"/>
      <c r="M190" s="190" t="n"/>
      <c r="N190" s="190" t="n"/>
      <c r="O190" s="190" t="n"/>
      <c r="P190" s="190" t="n"/>
      <c r="Q190" s="190" t="n"/>
      <c r="R190" s="190" t="n"/>
      <c r="S190" s="323" t="n"/>
      <c r="T190" s="190" t="n"/>
      <c r="U190" s="190" t="n"/>
      <c r="V190" s="162" t="inlineStr">
        <is>
          <t>CEI SANTO ANTÔNIO AGOSTINHO</t>
        </is>
      </c>
    </row>
    <row r="191" ht="15" customHeight="1" s="163">
      <c r="A191" s="188">
        <f>'CEI SÃO CHARBEL'!B5</f>
        <v/>
      </c>
      <c r="B191" s="189">
        <f>HYPERLINK("#'CEI SÃO CHARBEL'!A1",'CEI SÃO CHARBEL'!B2)</f>
        <v/>
      </c>
      <c r="C191" s="190" t="n"/>
      <c r="D191" s="190" t="n"/>
      <c r="E191" s="190" t="n"/>
      <c r="F191" s="190" t="n"/>
      <c r="G191" s="190" t="n"/>
      <c r="H191" s="190" t="n"/>
      <c r="I191" s="190" t="n"/>
      <c r="J191" s="190" t="n"/>
      <c r="K191" s="190" t="n"/>
      <c r="L191" s="190" t="n"/>
      <c r="M191" s="190" t="n"/>
      <c r="N191" s="190" t="n"/>
      <c r="O191" s="190" t="n"/>
      <c r="P191" s="190" t="n"/>
      <c r="Q191" s="190" t="n"/>
      <c r="R191" s="190" t="n"/>
      <c r="S191" s="323" t="n"/>
      <c r="T191" s="190" t="n"/>
      <c r="U191" s="190" t="n"/>
      <c r="V191" s="162" t="inlineStr">
        <is>
          <t>CEI SÃO CHARBEL</t>
        </is>
      </c>
    </row>
    <row r="192" ht="15" customHeight="1" s="163">
      <c r="A192" s="188">
        <f>'ASSOCIAÇÃO DA CRECHE SÃO FRANCI'!B5</f>
        <v/>
      </c>
      <c r="B192" s="189">
        <f>HYPERLINK("#'ASSOCIAÇÃO DA CRECHE SÃO FRANCI'!A1",'ASSOCIAÇÃO DA CRECHE SÃO FRANCI'!B2)</f>
        <v/>
      </c>
      <c r="C192" s="190" t="n"/>
      <c r="D192" s="190" t="n"/>
      <c r="E192" s="190" t="n"/>
      <c r="F192" s="190" t="n"/>
      <c r="G192" s="190" t="n"/>
      <c r="H192" s="190" t="n"/>
      <c r="I192" s="190" t="n"/>
      <c r="J192" s="190" t="n"/>
      <c r="K192" s="190" t="n"/>
      <c r="L192" s="190" t="n"/>
      <c r="M192" s="190" t="n"/>
      <c r="N192" s="190" t="n"/>
      <c r="O192" s="190" t="n"/>
      <c r="P192" s="190" t="n"/>
      <c r="Q192" s="190" t="n"/>
      <c r="R192" s="190" t="n"/>
      <c r="S192" s="323" t="n"/>
      <c r="T192" s="190" t="n"/>
      <c r="U192" s="190" t="n"/>
      <c r="V192" s="162" t="inlineStr">
        <is>
          <t>ASSOCIAÇÃO DA CRECHE SÃO FRANCI</t>
        </is>
      </c>
    </row>
    <row r="193" ht="15" customHeight="1" s="163">
      <c r="A193" s="188">
        <f>'CEI SÃO JOSÉ DO ITAMARATI'!B5</f>
        <v/>
      </c>
      <c r="B193" s="189">
        <f>HYPERLINK("#'CEI SÃO JOSÉ DO ITAMARATI'!A1",'CEI SÃO JOSÉ DO ITAMARATI'!B2)</f>
        <v/>
      </c>
      <c r="C193" s="190" t="n"/>
      <c r="D193" s="190" t="n"/>
      <c r="E193" s="190" t="n"/>
      <c r="F193" s="190" t="n"/>
      <c r="G193" s="190" t="n"/>
      <c r="H193" s="190" t="n"/>
      <c r="I193" s="190" t="n"/>
      <c r="J193" s="190" t="n"/>
      <c r="K193" s="190" t="n"/>
      <c r="L193" s="190" t="n"/>
      <c r="M193" s="190" t="n"/>
      <c r="N193" s="190" t="n"/>
      <c r="O193" s="190" t="n"/>
      <c r="P193" s="190" t="n"/>
      <c r="Q193" s="190" t="n"/>
      <c r="R193" s="190" t="n"/>
      <c r="S193" s="323" t="n"/>
      <c r="T193" s="190" t="n"/>
      <c r="U193" s="190" t="n"/>
      <c r="V193" s="162" t="inlineStr">
        <is>
          <t>CEI SÃO JOSÉ DO ITAMARATI</t>
        </is>
      </c>
    </row>
    <row r="194" ht="15" customHeight="1" s="163">
      <c r="A194" s="188">
        <f>'ASSOCIAÇÃO RECREAR'!B5</f>
        <v/>
      </c>
      <c r="B194" s="189">
        <f>HYPERLINK("#'ASSOCIAÇÃO RECREAR'!A1",'ASSOCIAÇÃO RECREAR'!B2)</f>
        <v/>
      </c>
      <c r="C194" s="190" t="n"/>
      <c r="D194" s="190" t="n"/>
      <c r="E194" s="190" t="n"/>
      <c r="F194" s="190" t="n"/>
      <c r="G194" s="190" t="n"/>
      <c r="H194" s="190" t="n"/>
      <c r="I194" s="190" t="n"/>
      <c r="J194" s="190" t="n"/>
      <c r="K194" s="190" t="n"/>
      <c r="L194" s="190" t="n"/>
      <c r="M194" s="190" t="n"/>
      <c r="N194" s="190" t="n"/>
      <c r="O194" s="190" t="n"/>
      <c r="P194" s="190" t="n"/>
      <c r="Q194" s="190" t="n"/>
      <c r="R194" s="190" t="n"/>
      <c r="S194" s="323" t="n"/>
      <c r="T194" s="190" t="n"/>
      <c r="U194" s="190" t="n"/>
      <c r="V194" s="162" t="inlineStr">
        <is>
          <t>ASSOCIAÇÃO RECREAR</t>
        </is>
      </c>
    </row>
    <row r="195" ht="15" customHeight="1" s="163">
      <c r="A195" s="188">
        <f>'CRECHE-ESCOLA CASTELO SÃO MANOE'!B5</f>
        <v/>
      </c>
      <c r="B195" s="189">
        <f>HYPERLINK("#'CRECHE-ESCOLA CASTELO SÃO MANOE'!A1",'CRECHE-ESCOLA CASTELO SÃO MANOE'!B2)</f>
        <v/>
      </c>
      <c r="C195" s="190" t="n"/>
      <c r="D195" s="190" t="n"/>
      <c r="E195" s="190" t="n"/>
      <c r="F195" s="190" t="n"/>
      <c r="G195" s="190" t="n"/>
      <c r="H195" s="190" t="n"/>
      <c r="I195" s="190" t="n"/>
      <c r="J195" s="190" t="n"/>
      <c r="K195" s="190" t="n"/>
      <c r="L195" s="190" t="n"/>
      <c r="M195" s="190" t="n"/>
      <c r="N195" s="190" t="n"/>
      <c r="O195" s="190" t="n"/>
      <c r="P195" s="190" t="n"/>
      <c r="Q195" s="190" t="n"/>
      <c r="R195" s="190" t="n"/>
      <c r="S195" s="323" t="n"/>
      <c r="T195" s="190" t="n"/>
      <c r="U195" s="190" t="n"/>
      <c r="V195" s="162" t="inlineStr">
        <is>
          <t>CRECHE-ESCOLA CASTELO SÃO MANOE</t>
        </is>
      </c>
    </row>
    <row r="196" ht="15" customHeight="1" s="163">
      <c r="A196" s="188">
        <f>'CENTRO DE EDUCAÇÃO INFANTIL SÃO'!B5</f>
        <v/>
      </c>
      <c r="B196" s="189">
        <f>HYPERLINK("#'CENTRO DE EDUCAÇÃO INFANTIL SÃO'!A1",'CENTRO DE EDUCAÇÃO INFANTIL SÃO'!B2)</f>
        <v/>
      </c>
      <c r="C196" s="190" t="n"/>
      <c r="D196" s="190" t="n"/>
      <c r="E196" s="190" t="n"/>
      <c r="F196" s="190" t="n"/>
      <c r="G196" s="190" t="n"/>
      <c r="H196" s="190" t="n"/>
      <c r="I196" s="190" t="n"/>
      <c r="J196" s="190" t="n"/>
      <c r="K196" s="190" t="n"/>
      <c r="L196" s="190" t="n"/>
      <c r="M196" s="190" t="n"/>
      <c r="N196" s="190" t="n"/>
      <c r="O196" s="190" t="n"/>
      <c r="P196" s="190" t="n"/>
      <c r="Q196" s="190" t="n"/>
      <c r="R196" s="190" t="n"/>
      <c r="S196" s="323" t="n"/>
      <c r="T196" s="190" t="n"/>
      <c r="U196" s="190" t="n"/>
      <c r="V196" s="162" t="inlineStr">
        <is>
          <t>CENTRO DE EDUCAÇÃO INFANTIL SÃO</t>
        </is>
      </c>
    </row>
    <row r="197" ht="15" customHeight="1" s="163">
      <c r="A197" s="191" t="inlineStr">
        <is>
          <t>TOTAL</t>
        </is>
      </c>
      <c r="B197" s="192" t="inlineStr">
        <is>
          <t>PEDIDO ESCOLAS</t>
        </is>
      </c>
      <c r="C197" s="193">
        <f>SUM(C6:C196)</f>
        <v/>
      </c>
      <c r="D197" s="193">
        <f>SUM(D6:D196)</f>
        <v/>
      </c>
      <c r="E197" s="193">
        <f>SUM(E6:E196)</f>
        <v/>
      </c>
      <c r="F197" s="193">
        <f>SUM(F6:F196)</f>
        <v/>
      </c>
      <c r="G197" s="193">
        <f>SUM(G6:G196)</f>
        <v/>
      </c>
      <c r="H197" s="193">
        <f>SUM(H6:H196)</f>
        <v/>
      </c>
      <c r="I197" s="193">
        <f>SUM(I6:I196)</f>
        <v/>
      </c>
      <c r="J197" s="193">
        <f>SUM(J6:J196)</f>
        <v/>
      </c>
      <c r="K197" s="193">
        <f>SUM(K6:K196)</f>
        <v/>
      </c>
      <c r="L197" s="193">
        <f>SUM(L6:L196)</f>
        <v/>
      </c>
      <c r="M197" s="193">
        <f>SUM(M6:M196)</f>
        <v/>
      </c>
      <c r="N197" s="193">
        <f>SUM(N6:N196)</f>
        <v/>
      </c>
      <c r="O197" s="193">
        <f>SUM(O6:O196)</f>
        <v/>
      </c>
      <c r="P197" s="193">
        <f>SUM(P6:P196)</f>
        <v/>
      </c>
      <c r="Q197" s="193">
        <f>SUM(Q6:Q196)</f>
        <v/>
      </c>
      <c r="R197" s="193">
        <f>SUM(R6:R196)</f>
        <v/>
      </c>
      <c r="S197" s="193">
        <f>SUM(S6:S196)</f>
        <v/>
      </c>
      <c r="T197" s="193">
        <f>SUM(T6:T196)</f>
        <v/>
      </c>
      <c r="U197" s="193">
        <f>SUM(U6:U196)</f>
        <v/>
      </c>
    </row>
    <row r="199" ht="21.75" customHeight="1" s="163">
      <c r="A199" s="186" t="inlineStr">
        <is>
          <t>PEDIDO AOS PRODUTORES (kg) — o que vamos pedir para cada um trazer</t>
        </is>
      </c>
      <c r="C199" s="194" t="n"/>
      <c r="D199" s="194" t="n"/>
      <c r="E199" s="194" t="n"/>
      <c r="F199" s="194" t="n"/>
      <c r="G199" s="194" t="n"/>
      <c r="H199" s="194" t="n"/>
      <c r="I199" s="194" t="n"/>
      <c r="J199" s="194" t="n"/>
      <c r="K199" s="194" t="n"/>
      <c r="L199" s="194" t="n"/>
      <c r="M199" s="194" t="n"/>
      <c r="N199" s="194" t="n"/>
      <c r="O199" s="194" t="n"/>
      <c r="P199" s="194" t="n"/>
      <c r="Q199" s="194" t="n"/>
      <c r="R199" s="194" t="n"/>
      <c r="S199" s="194" t="n"/>
      <c r="T199" s="194" t="n"/>
      <c r="U199" s="194" t="n"/>
    </row>
    <row r="200" ht="30" customHeight="1" s="163">
      <c r="A200" s="187" t="inlineStr">
        <is>
          <t>—</t>
        </is>
      </c>
      <c r="B200" s="187" t="inlineStr">
        <is>
          <t>PRODUTOR</t>
        </is>
      </c>
      <c r="C200" s="187" t="inlineStr">
        <is>
          <t>Abacate</t>
        </is>
      </c>
      <c r="D200" s="187" t="inlineStr">
        <is>
          <t>Abobrinha</t>
        </is>
      </c>
      <c r="E200" s="187" t="inlineStr">
        <is>
          <t>Agrião</t>
        </is>
      </c>
      <c r="F200" s="187" t="inlineStr">
        <is>
          <t>Alface lisa</t>
        </is>
      </c>
      <c r="G200" s="187" t="inlineStr">
        <is>
          <t>Banana prata</t>
        </is>
      </c>
      <c r="H200" s="187" t="inlineStr">
        <is>
          <t>Batata inglesa</t>
        </is>
      </c>
      <c r="I200" s="187" t="inlineStr">
        <is>
          <t>Beterraba</t>
        </is>
      </c>
      <c r="J200" s="187" t="inlineStr">
        <is>
          <t>Brócolis</t>
        </is>
      </c>
      <c r="K200" s="187" t="inlineStr">
        <is>
          <t>Cenoura</t>
        </is>
      </c>
      <c r="L200" s="187" t="inlineStr">
        <is>
          <t>Cheiro verde</t>
        </is>
      </c>
      <c r="M200" s="187" t="inlineStr">
        <is>
          <t>Chuchu</t>
        </is>
      </c>
      <c r="N200" s="187" t="inlineStr">
        <is>
          <t>Couve manteiga</t>
        </is>
      </c>
      <c r="O200" s="187" t="inlineStr">
        <is>
          <t>Couve-flor</t>
        </is>
      </c>
      <c r="P200" s="187" t="inlineStr">
        <is>
          <t>Espinafre</t>
        </is>
      </c>
      <c r="Q200" s="187" t="inlineStr">
        <is>
          <t>Maçã gala</t>
        </is>
      </c>
      <c r="R200" s="187" t="inlineStr">
        <is>
          <t>Mel</t>
        </is>
      </c>
      <c r="S200" s="187" t="inlineStr">
        <is>
          <t>Ovos</t>
        </is>
      </c>
      <c r="T200" s="187" t="inlineStr">
        <is>
          <t>Repolho</t>
        </is>
      </c>
      <c r="U200" s="187" t="inlineStr">
        <is>
          <t>Tangerina ponkan</t>
        </is>
      </c>
    </row>
    <row r="201" ht="15" customHeight="1" s="163">
      <c r="A201" s="188" t="n"/>
      <c r="B201" s="189">
        <f>HYPERLINK("#'PROD - Ana C. C. R. Souza'!A1",'PROD - Ana C. C. R. Souza'!B2)</f>
        <v/>
      </c>
      <c r="C201" s="190" t="n">
        <v>0</v>
      </c>
      <c r="D201" s="190" t="n">
        <v>0</v>
      </c>
      <c r="E201" s="190" t="n">
        <v>0</v>
      </c>
      <c r="F201" s="190" t="n">
        <v>0</v>
      </c>
      <c r="G201" s="190" t="n">
        <v>0</v>
      </c>
      <c r="H201" s="190" t="n">
        <v>0</v>
      </c>
      <c r="I201" s="190" t="n">
        <v>0</v>
      </c>
      <c r="J201" s="190" t="n">
        <v>0</v>
      </c>
      <c r="K201" s="190" t="n">
        <v>0</v>
      </c>
      <c r="L201" s="190" t="n">
        <v>0</v>
      </c>
      <c r="M201" s="190" t="n">
        <v>0</v>
      </c>
      <c r="N201" s="190" t="n">
        <v>0</v>
      </c>
      <c r="O201" s="190" t="n">
        <v>0</v>
      </c>
      <c r="P201" s="190" t="n">
        <v>0</v>
      </c>
      <c r="Q201" s="190" t="n">
        <v>0</v>
      </c>
      <c r="R201" s="190" t="n">
        <v>0</v>
      </c>
      <c r="S201" s="323" t="n">
        <v>0</v>
      </c>
      <c r="T201" s="190" t="n">
        <v>0</v>
      </c>
      <c r="U201" s="190" t="n">
        <v>0</v>
      </c>
    </row>
    <row r="202" ht="15" customHeight="1" s="163">
      <c r="A202" s="188" t="n"/>
      <c r="B202" s="189">
        <f>HYPERLINK("#'PROD - Anderson Mello Quimas'!A1",'PROD - Anderson Mello Quimas'!B2)</f>
        <v/>
      </c>
      <c r="C202" s="190" t="n">
        <v>0</v>
      </c>
      <c r="D202" s="190" t="n">
        <v>0</v>
      </c>
      <c r="E202" s="190" t="n">
        <v>0</v>
      </c>
      <c r="F202" s="190" t="n">
        <v>0</v>
      </c>
      <c r="G202" s="190" t="n">
        <v>0</v>
      </c>
      <c r="H202" s="190" t="n">
        <v>0</v>
      </c>
      <c r="I202" s="190" t="n">
        <v>0</v>
      </c>
      <c r="J202" s="190" t="n">
        <v>0</v>
      </c>
      <c r="K202" s="190" t="n">
        <v>0</v>
      </c>
      <c r="L202" s="190" t="n">
        <v>0</v>
      </c>
      <c r="M202" s="190" t="n">
        <v>0</v>
      </c>
      <c r="N202" s="190" t="n">
        <v>0</v>
      </c>
      <c r="O202" s="190" t="n">
        <v>0</v>
      </c>
      <c r="P202" s="190" t="n">
        <v>0</v>
      </c>
      <c r="Q202" s="190" t="n">
        <v>0</v>
      </c>
      <c r="R202" s="190" t="n">
        <v>0</v>
      </c>
      <c r="S202" s="323" t="n">
        <v>0</v>
      </c>
      <c r="T202" s="190" t="n">
        <v>0</v>
      </c>
      <c r="U202" s="190" t="n">
        <v>0</v>
      </c>
    </row>
    <row r="203" ht="15" customHeight="1" s="163">
      <c r="A203" s="188" t="n"/>
      <c r="B203" s="189">
        <f>HYPERLINK("#'PROD - Armando Jose Silva'!A1",'PROD - Armando Jose Silva'!B2)</f>
        <v/>
      </c>
      <c r="C203" s="190" t="n">
        <v>0</v>
      </c>
      <c r="D203" s="190" t="n">
        <v>0</v>
      </c>
      <c r="E203" s="190" t="n">
        <v>0</v>
      </c>
      <c r="F203" s="190" t="n">
        <v>0</v>
      </c>
      <c r="G203" s="190" t="n">
        <v>0</v>
      </c>
      <c r="H203" s="190" t="n">
        <v>0</v>
      </c>
      <c r="I203" s="190" t="n">
        <v>0</v>
      </c>
      <c r="J203" s="190" t="n">
        <v>0</v>
      </c>
      <c r="K203" s="190" t="n">
        <v>0</v>
      </c>
      <c r="L203" s="190" t="n">
        <v>0</v>
      </c>
      <c r="M203" s="190" t="n">
        <v>0</v>
      </c>
      <c r="N203" s="190" t="n">
        <v>0</v>
      </c>
      <c r="O203" s="190" t="n">
        <v>0</v>
      </c>
      <c r="P203" s="190" t="n">
        <v>0</v>
      </c>
      <c r="Q203" s="190" t="n">
        <v>0</v>
      </c>
      <c r="R203" s="190" t="n">
        <v>0</v>
      </c>
      <c r="S203" s="323" t="n">
        <v>0</v>
      </c>
      <c r="T203" s="190" t="n">
        <v>0</v>
      </c>
      <c r="U203" s="190" t="n">
        <v>0</v>
      </c>
    </row>
    <row r="204" ht="15" customHeight="1" s="163">
      <c r="A204" s="188" t="n"/>
      <c r="B204" s="189">
        <f>HYPERLINK("#'PROD - Arnaldo Silva'!A1",'PROD - Arnaldo Silva'!B2)</f>
        <v/>
      </c>
      <c r="C204" s="190" t="n">
        <v>0</v>
      </c>
      <c r="D204" s="190" t="n">
        <v>0</v>
      </c>
      <c r="E204" s="190" t="n">
        <v>0</v>
      </c>
      <c r="F204" s="190" t="n">
        <v>0</v>
      </c>
      <c r="G204" s="190" t="n">
        <v>0</v>
      </c>
      <c r="H204" s="190" t="n">
        <v>0</v>
      </c>
      <c r="I204" s="190" t="n">
        <v>0</v>
      </c>
      <c r="J204" s="190" t="n">
        <v>0</v>
      </c>
      <c r="K204" s="190" t="n">
        <v>0</v>
      </c>
      <c r="L204" s="190" t="n">
        <v>0</v>
      </c>
      <c r="M204" s="190" t="n">
        <v>0</v>
      </c>
      <c r="N204" s="190" t="n">
        <v>0</v>
      </c>
      <c r="O204" s="190" t="n">
        <v>0</v>
      </c>
      <c r="P204" s="190" t="n">
        <v>0</v>
      </c>
      <c r="Q204" s="190" t="n">
        <v>0</v>
      </c>
      <c r="R204" s="190" t="n">
        <v>0</v>
      </c>
      <c r="S204" s="323" t="n">
        <v>0</v>
      </c>
      <c r="T204" s="190" t="n">
        <v>0</v>
      </c>
      <c r="U204" s="190" t="n">
        <v>0</v>
      </c>
    </row>
    <row r="205" ht="15" customHeight="1" s="163">
      <c r="A205" s="188" t="n"/>
      <c r="B205" s="189">
        <f>HYPERLINK("#'PROD - Claudeni R. Xavier'!A1",'PROD - Claudeni R. Xavier'!B2)</f>
        <v/>
      </c>
      <c r="C205" s="190" t="n">
        <v>0</v>
      </c>
      <c r="D205" s="190" t="n">
        <v>0</v>
      </c>
      <c r="E205" s="190" t="n">
        <v>0</v>
      </c>
      <c r="F205" s="190" t="n">
        <v>0</v>
      </c>
      <c r="G205" s="190" t="n">
        <v>0</v>
      </c>
      <c r="H205" s="190" t="n">
        <v>0</v>
      </c>
      <c r="I205" s="190" t="n">
        <v>0</v>
      </c>
      <c r="J205" s="190" t="n">
        <v>0</v>
      </c>
      <c r="K205" s="190" t="n">
        <v>0</v>
      </c>
      <c r="L205" s="190" t="n">
        <v>0</v>
      </c>
      <c r="M205" s="190" t="n">
        <v>0</v>
      </c>
      <c r="N205" s="190" t="n">
        <v>0</v>
      </c>
      <c r="O205" s="190" t="n">
        <v>0</v>
      </c>
      <c r="P205" s="190" t="n">
        <v>0</v>
      </c>
      <c r="Q205" s="190" t="n">
        <v>0</v>
      </c>
      <c r="R205" s="190" t="n">
        <v>0</v>
      </c>
      <c r="S205" s="323" t="n">
        <v>0</v>
      </c>
      <c r="T205" s="190" t="n">
        <v>0</v>
      </c>
      <c r="U205" s="190" t="n">
        <v>0</v>
      </c>
    </row>
    <row r="206" ht="15" customHeight="1" s="163">
      <c r="A206" s="188" t="n"/>
      <c r="B206" s="189">
        <f>HYPERLINK("#'PROD - Edson Jose Silva'!A1",'PROD - Edson Jose Silva'!B2)</f>
        <v/>
      </c>
      <c r="C206" s="190" t="n">
        <v>0</v>
      </c>
      <c r="D206" s="190" t="n">
        <v>0</v>
      </c>
      <c r="E206" s="190" t="n">
        <v>0</v>
      </c>
      <c r="F206" s="190" t="n">
        <v>0</v>
      </c>
      <c r="G206" s="190" t="n">
        <v>0</v>
      </c>
      <c r="H206" s="190" t="n">
        <v>0</v>
      </c>
      <c r="I206" s="190" t="n">
        <v>0</v>
      </c>
      <c r="J206" s="190" t="n">
        <v>0</v>
      </c>
      <c r="K206" s="190" t="n">
        <v>0</v>
      </c>
      <c r="L206" s="190" t="n">
        <v>0</v>
      </c>
      <c r="M206" s="190" t="n">
        <v>0</v>
      </c>
      <c r="N206" s="190" t="n">
        <v>0</v>
      </c>
      <c r="O206" s="190" t="n">
        <v>0</v>
      </c>
      <c r="P206" s="190" t="n">
        <v>0</v>
      </c>
      <c r="Q206" s="190" t="n">
        <v>0</v>
      </c>
      <c r="R206" s="190" t="n">
        <v>0</v>
      </c>
      <c r="S206" s="323" t="n">
        <v>0</v>
      </c>
      <c r="T206" s="190" t="n">
        <v>0</v>
      </c>
      <c r="U206" s="190" t="n">
        <v>0</v>
      </c>
    </row>
    <row r="207" ht="15" customHeight="1" s="163">
      <c r="A207" s="188" t="n"/>
      <c r="B207" s="189">
        <f>HYPERLINK("#'PROD - Gabriel Adriano Souza'!A1",'PROD - Gabriel Adriano Souza'!B2)</f>
        <v/>
      </c>
      <c r="C207" s="190" t="n">
        <v>0</v>
      </c>
      <c r="D207" s="190" t="n">
        <v>0</v>
      </c>
      <c r="E207" s="190" t="n">
        <v>0</v>
      </c>
      <c r="F207" s="190" t="n">
        <v>0</v>
      </c>
      <c r="G207" s="190" t="n">
        <v>0</v>
      </c>
      <c r="H207" s="190" t="n">
        <v>0</v>
      </c>
      <c r="I207" s="190" t="n">
        <v>0</v>
      </c>
      <c r="J207" s="190" t="n">
        <v>0</v>
      </c>
      <c r="K207" s="190" t="n">
        <v>0</v>
      </c>
      <c r="L207" s="190" t="n">
        <v>0</v>
      </c>
      <c r="M207" s="190" t="n">
        <v>0</v>
      </c>
      <c r="N207" s="190" t="n">
        <v>0</v>
      </c>
      <c r="O207" s="190" t="n">
        <v>0</v>
      </c>
      <c r="P207" s="190" t="n">
        <v>0</v>
      </c>
      <c r="Q207" s="190" t="n">
        <v>0</v>
      </c>
      <c r="R207" s="190" t="n">
        <v>0</v>
      </c>
      <c r="S207" s="323" t="n">
        <v>0</v>
      </c>
      <c r="T207" s="190" t="n">
        <v>0</v>
      </c>
      <c r="U207" s="190" t="n">
        <v>0</v>
      </c>
    </row>
    <row r="208" ht="15" customHeight="1" s="163">
      <c r="A208" s="188" t="n"/>
      <c r="B208" s="189">
        <f>HYPERLINK("#'PROD - Gustavo Mello Rodrigues'!A1",'PROD - Gustavo Mello Rodrigues'!B2)</f>
        <v/>
      </c>
      <c r="C208" s="190" t="n">
        <v>0</v>
      </c>
      <c r="D208" s="190" t="n">
        <v>0</v>
      </c>
      <c r="E208" s="190" t="n">
        <v>0</v>
      </c>
      <c r="F208" s="190" t="n">
        <v>0</v>
      </c>
      <c r="G208" s="190" t="n">
        <v>0</v>
      </c>
      <c r="H208" s="190" t="n">
        <v>0</v>
      </c>
      <c r="I208" s="190" t="n">
        <v>0</v>
      </c>
      <c r="J208" s="190" t="n">
        <v>0</v>
      </c>
      <c r="K208" s="190" t="n">
        <v>0</v>
      </c>
      <c r="L208" s="190" t="n">
        <v>0</v>
      </c>
      <c r="M208" s="190" t="n">
        <v>0</v>
      </c>
      <c r="N208" s="190" t="n">
        <v>0</v>
      </c>
      <c r="O208" s="190" t="n">
        <v>0</v>
      </c>
      <c r="P208" s="190" t="n">
        <v>0</v>
      </c>
      <c r="Q208" s="190" t="n">
        <v>0</v>
      </c>
      <c r="R208" s="190" t="n">
        <v>0</v>
      </c>
      <c r="S208" s="323" t="n">
        <v>0</v>
      </c>
      <c r="T208" s="190" t="n">
        <v>0</v>
      </c>
      <c r="U208" s="190" t="n">
        <v>0</v>
      </c>
    </row>
    <row r="209" ht="15" customHeight="1" s="163">
      <c r="A209" s="188" t="n"/>
      <c r="B209" s="189">
        <f>HYPERLINK("#'PROD - Joaquim Sergio Lage'!A1",'PROD - Joaquim Sergio Lage'!B2)</f>
        <v/>
      </c>
      <c r="C209" s="190" t="n">
        <v>0</v>
      </c>
      <c r="D209" s="190" t="n">
        <v>0</v>
      </c>
      <c r="E209" s="190" t="n">
        <v>0</v>
      </c>
      <c r="F209" s="190" t="n">
        <v>0</v>
      </c>
      <c r="G209" s="190" t="n">
        <v>0</v>
      </c>
      <c r="H209" s="190" t="n">
        <v>0</v>
      </c>
      <c r="I209" s="190" t="n">
        <v>0</v>
      </c>
      <c r="J209" s="190" t="n">
        <v>0</v>
      </c>
      <c r="K209" s="190" t="n">
        <v>0</v>
      </c>
      <c r="L209" s="190" t="n">
        <v>0</v>
      </c>
      <c r="M209" s="190" t="n">
        <v>0</v>
      </c>
      <c r="N209" s="190" t="n">
        <v>0</v>
      </c>
      <c r="O209" s="190" t="n">
        <v>0</v>
      </c>
      <c r="P209" s="190" t="n">
        <v>0</v>
      </c>
      <c r="Q209" s="190" t="n">
        <v>0</v>
      </c>
      <c r="R209" s="190" t="n">
        <v>0</v>
      </c>
      <c r="S209" s="323" t="n">
        <v>0</v>
      </c>
      <c r="T209" s="190" t="n">
        <v>0</v>
      </c>
      <c r="U209" s="190" t="n">
        <v>0</v>
      </c>
    </row>
    <row r="210" ht="15" customHeight="1" s="163">
      <c r="A210" s="188" t="n"/>
      <c r="B210" s="189">
        <f>HYPERLINK("#'PROD - Jorge G. P. Diniz'!A1",'PROD - Jorge G. P. Diniz'!B2)</f>
        <v/>
      </c>
      <c r="C210" s="190" t="n">
        <v>0</v>
      </c>
      <c r="D210" s="190" t="n">
        <v>0</v>
      </c>
      <c r="E210" s="190" t="n">
        <v>0</v>
      </c>
      <c r="F210" s="190" t="n">
        <v>0</v>
      </c>
      <c r="G210" s="190" t="n">
        <v>0</v>
      </c>
      <c r="H210" s="190" t="n">
        <v>0</v>
      </c>
      <c r="I210" s="190" t="n">
        <v>0</v>
      </c>
      <c r="J210" s="190" t="n">
        <v>0</v>
      </c>
      <c r="K210" s="190" t="n">
        <v>0</v>
      </c>
      <c r="L210" s="190" t="n">
        <v>0</v>
      </c>
      <c r="M210" s="190" t="n">
        <v>0</v>
      </c>
      <c r="N210" s="190" t="n">
        <v>0</v>
      </c>
      <c r="O210" s="190" t="n">
        <v>0</v>
      </c>
      <c r="P210" s="190" t="n">
        <v>0</v>
      </c>
      <c r="Q210" s="190" t="n">
        <v>0</v>
      </c>
      <c r="R210" s="190" t="n">
        <v>0</v>
      </c>
      <c r="S210" s="323" t="n">
        <v>0</v>
      </c>
      <c r="T210" s="190" t="n">
        <v>0</v>
      </c>
      <c r="U210" s="190" t="n">
        <v>0</v>
      </c>
    </row>
    <row r="211" ht="15" customHeight="1" s="163">
      <c r="A211" s="188" t="n"/>
      <c r="B211" s="189">
        <f>HYPERLINK("#'PROD - Jose G. S. Mello'!A1",'PROD - Jose G. S. Mello'!B2)</f>
        <v/>
      </c>
      <c r="C211" s="190" t="n">
        <v>0</v>
      </c>
      <c r="D211" s="190" t="n">
        <v>0</v>
      </c>
      <c r="E211" s="190" t="n">
        <v>0</v>
      </c>
      <c r="F211" s="190" t="n">
        <v>0</v>
      </c>
      <c r="G211" s="190" t="n">
        <v>0</v>
      </c>
      <c r="H211" s="190" t="n">
        <v>0</v>
      </c>
      <c r="I211" s="190" t="n">
        <v>0</v>
      </c>
      <c r="J211" s="190" t="n">
        <v>0</v>
      </c>
      <c r="K211" s="190" t="n">
        <v>0</v>
      </c>
      <c r="L211" s="190" t="n">
        <v>0</v>
      </c>
      <c r="M211" s="190" t="n">
        <v>0</v>
      </c>
      <c r="N211" s="190" t="n">
        <v>0</v>
      </c>
      <c r="O211" s="190" t="n">
        <v>0</v>
      </c>
      <c r="P211" s="190" t="n">
        <v>0</v>
      </c>
      <c r="Q211" s="190" t="n">
        <v>0</v>
      </c>
      <c r="R211" s="190" t="n">
        <v>0</v>
      </c>
      <c r="S211" s="323" t="n">
        <v>0</v>
      </c>
      <c r="T211" s="190" t="n">
        <v>0</v>
      </c>
      <c r="U211" s="190" t="n">
        <v>0</v>
      </c>
    </row>
    <row r="212" ht="15" customHeight="1" s="163">
      <c r="A212" s="188" t="n"/>
      <c r="B212" s="189">
        <f>HYPERLINK("#'PROD - Jose Rodrigues Melo'!A1",'PROD - Jose Rodrigues Melo'!B2)</f>
        <v/>
      </c>
      <c r="C212" s="190" t="n">
        <v>0</v>
      </c>
      <c r="D212" s="190" t="n">
        <v>0</v>
      </c>
      <c r="E212" s="190" t="n">
        <v>0</v>
      </c>
      <c r="F212" s="190" t="n">
        <v>0</v>
      </c>
      <c r="G212" s="190" t="n">
        <v>0</v>
      </c>
      <c r="H212" s="190" t="n">
        <v>0</v>
      </c>
      <c r="I212" s="190" t="n">
        <v>0</v>
      </c>
      <c r="J212" s="190" t="n">
        <v>0</v>
      </c>
      <c r="K212" s="190" t="n">
        <v>0</v>
      </c>
      <c r="L212" s="190" t="n">
        <v>0</v>
      </c>
      <c r="M212" s="190" t="n">
        <v>0</v>
      </c>
      <c r="N212" s="190" t="n">
        <v>0</v>
      </c>
      <c r="O212" s="190" t="n">
        <v>0</v>
      </c>
      <c r="P212" s="190" t="n">
        <v>0</v>
      </c>
      <c r="Q212" s="190" t="n">
        <v>0</v>
      </c>
      <c r="R212" s="190" t="n">
        <v>0</v>
      </c>
      <c r="S212" s="323" t="n">
        <v>0</v>
      </c>
      <c r="T212" s="190" t="n">
        <v>0</v>
      </c>
      <c r="U212" s="190" t="n">
        <v>0</v>
      </c>
    </row>
    <row r="213" ht="15" customHeight="1" s="163">
      <c r="A213" s="188" t="n"/>
      <c r="B213" s="189">
        <f>HYPERLINK("#'PROD - Lucio Mauro Felix Silva'!A1",'PROD - Lucio Mauro Felix Silva'!B2)</f>
        <v/>
      </c>
      <c r="C213" s="190" t="n">
        <v>0</v>
      </c>
      <c r="D213" s="190" t="n">
        <v>0</v>
      </c>
      <c r="E213" s="190" t="n">
        <v>0</v>
      </c>
      <c r="F213" s="190" t="n">
        <v>0</v>
      </c>
      <c r="G213" s="190" t="n">
        <v>0</v>
      </c>
      <c r="H213" s="190" t="n">
        <v>0</v>
      </c>
      <c r="I213" s="190" t="n">
        <v>0</v>
      </c>
      <c r="J213" s="190" t="n">
        <v>0</v>
      </c>
      <c r="K213" s="190" t="n">
        <v>0</v>
      </c>
      <c r="L213" s="190" t="n">
        <v>0</v>
      </c>
      <c r="M213" s="190" t="n">
        <v>0</v>
      </c>
      <c r="N213" s="190" t="n">
        <v>0</v>
      </c>
      <c r="O213" s="190" t="n">
        <v>0</v>
      </c>
      <c r="P213" s="190" t="n">
        <v>0</v>
      </c>
      <c r="Q213" s="190" t="n">
        <v>0</v>
      </c>
      <c r="R213" s="190" t="n">
        <v>0</v>
      </c>
      <c r="S213" s="323" t="n">
        <v>0</v>
      </c>
      <c r="T213" s="190" t="n">
        <v>0</v>
      </c>
      <c r="U213" s="190" t="n">
        <v>0</v>
      </c>
    </row>
    <row r="214" ht="15" customHeight="1" s="163">
      <c r="A214" s="188" t="n"/>
      <c r="B214" s="189">
        <f>HYPERLINK("#'PROD - Luiz A. O. Pinto'!A1",'PROD - Luiz A. O. Pinto'!B2)</f>
        <v/>
      </c>
      <c r="C214" s="190" t="n">
        <v>0</v>
      </c>
      <c r="D214" s="190" t="n">
        <v>0</v>
      </c>
      <c r="E214" s="190" t="n">
        <v>0</v>
      </c>
      <c r="F214" s="190" t="n">
        <v>0</v>
      </c>
      <c r="G214" s="190" t="n">
        <v>0</v>
      </c>
      <c r="H214" s="190" t="n">
        <v>0</v>
      </c>
      <c r="I214" s="190" t="n">
        <v>0</v>
      </c>
      <c r="J214" s="190" t="n">
        <v>0</v>
      </c>
      <c r="K214" s="190" t="n">
        <v>0</v>
      </c>
      <c r="L214" s="190" t="n">
        <v>0</v>
      </c>
      <c r="M214" s="190" t="n">
        <v>0</v>
      </c>
      <c r="N214" s="190" t="n">
        <v>0</v>
      </c>
      <c r="O214" s="190" t="n">
        <v>0</v>
      </c>
      <c r="P214" s="190" t="n">
        <v>0</v>
      </c>
      <c r="Q214" s="190" t="n">
        <v>0</v>
      </c>
      <c r="R214" s="190" t="n">
        <v>0</v>
      </c>
      <c r="S214" s="323" t="n">
        <v>0</v>
      </c>
      <c r="T214" s="190" t="n">
        <v>0</v>
      </c>
      <c r="U214" s="190" t="n">
        <v>0</v>
      </c>
    </row>
    <row r="215" ht="15" customHeight="1" s="163">
      <c r="A215" s="188" t="n"/>
      <c r="B215" s="189">
        <f>HYPERLINK("#'PROD - Marcelo Marcos Delgado'!A1",'PROD - Marcelo Marcos Delgado'!B2)</f>
        <v/>
      </c>
      <c r="C215" s="190" t="n">
        <v>0</v>
      </c>
      <c r="D215" s="190" t="n">
        <v>0</v>
      </c>
      <c r="E215" s="190" t="n">
        <v>0</v>
      </c>
      <c r="F215" s="190" t="n">
        <v>0</v>
      </c>
      <c r="G215" s="190" t="n">
        <v>0</v>
      </c>
      <c r="H215" s="190" t="n">
        <v>0</v>
      </c>
      <c r="I215" s="190" t="n">
        <v>0</v>
      </c>
      <c r="J215" s="190" t="n">
        <v>0</v>
      </c>
      <c r="K215" s="190" t="n">
        <v>0</v>
      </c>
      <c r="L215" s="190" t="n">
        <v>0</v>
      </c>
      <c r="M215" s="190" t="n">
        <v>0</v>
      </c>
      <c r="N215" s="190" t="n">
        <v>0</v>
      </c>
      <c r="O215" s="190" t="n">
        <v>0</v>
      </c>
      <c r="P215" s="190" t="n">
        <v>0</v>
      </c>
      <c r="Q215" s="190" t="n">
        <v>0</v>
      </c>
      <c r="R215" s="190" t="n">
        <v>0</v>
      </c>
      <c r="S215" s="323" t="n">
        <v>0</v>
      </c>
      <c r="T215" s="190" t="n">
        <v>0</v>
      </c>
      <c r="U215" s="190" t="n">
        <v>0</v>
      </c>
    </row>
    <row r="216" ht="15" customHeight="1" s="163">
      <c r="A216" s="188" t="n"/>
      <c r="B216" s="189">
        <f>HYPERLINK("#'PROD - Marcio Azevedo Souza'!A1",'PROD - Marcio Azevedo Souza'!B2)</f>
        <v/>
      </c>
      <c r="C216" s="190" t="n">
        <v>0</v>
      </c>
      <c r="D216" s="190" t="n">
        <v>0</v>
      </c>
      <c r="E216" s="190" t="n">
        <v>0</v>
      </c>
      <c r="F216" s="190" t="n">
        <v>0</v>
      </c>
      <c r="G216" s="190" t="n">
        <v>0</v>
      </c>
      <c r="H216" s="190" t="n">
        <v>0</v>
      </c>
      <c r="I216" s="190" t="n">
        <v>0</v>
      </c>
      <c r="J216" s="190" t="n">
        <v>0</v>
      </c>
      <c r="K216" s="190" t="n">
        <v>0</v>
      </c>
      <c r="L216" s="190" t="n">
        <v>0</v>
      </c>
      <c r="M216" s="190" t="n">
        <v>0</v>
      </c>
      <c r="N216" s="190" t="n">
        <v>0</v>
      </c>
      <c r="O216" s="190" t="n">
        <v>0</v>
      </c>
      <c r="P216" s="190" t="n">
        <v>0</v>
      </c>
      <c r="Q216" s="190" t="n">
        <v>0</v>
      </c>
      <c r="R216" s="190" t="n">
        <v>0</v>
      </c>
      <c r="S216" s="323" t="n">
        <v>0</v>
      </c>
      <c r="T216" s="190" t="n">
        <v>0</v>
      </c>
      <c r="U216" s="190" t="n">
        <v>0</v>
      </c>
    </row>
    <row r="217" ht="15" customHeight="1" s="163">
      <c r="A217" s="188" t="n"/>
      <c r="B217" s="189">
        <f>HYPERLINK("#'PROD - Marco Antonio Coelho'!A1",'PROD - Marco Antonio Coelho'!B2)</f>
        <v/>
      </c>
      <c r="C217" s="190" t="n">
        <v>0</v>
      </c>
      <c r="D217" s="190" t="n">
        <v>0</v>
      </c>
      <c r="E217" s="190" t="n">
        <v>0</v>
      </c>
      <c r="F217" s="190" t="n">
        <v>0</v>
      </c>
      <c r="G217" s="190" t="n">
        <v>0</v>
      </c>
      <c r="H217" s="190" t="n">
        <v>0</v>
      </c>
      <c r="I217" s="190" t="n">
        <v>0</v>
      </c>
      <c r="J217" s="190" t="n">
        <v>0</v>
      </c>
      <c r="K217" s="190" t="n">
        <v>0</v>
      </c>
      <c r="L217" s="190" t="n">
        <v>0</v>
      </c>
      <c r="M217" s="190" t="n">
        <v>0</v>
      </c>
      <c r="N217" s="190" t="n">
        <v>0</v>
      </c>
      <c r="O217" s="190" t="n">
        <v>0</v>
      </c>
      <c r="P217" s="190" t="n">
        <v>0</v>
      </c>
      <c r="Q217" s="190" t="n">
        <v>0</v>
      </c>
      <c r="R217" s="190" t="n">
        <v>0</v>
      </c>
      <c r="S217" s="323" t="n">
        <v>0</v>
      </c>
      <c r="T217" s="190" t="n">
        <v>0</v>
      </c>
      <c r="U217" s="190" t="n">
        <v>0</v>
      </c>
    </row>
    <row r="218" ht="15" customHeight="1" s="163">
      <c r="A218" s="188" t="n"/>
      <c r="B218" s="189">
        <f>HYPERLINK("#'PROD - Marcos Marcelo Delgado'!A1",'PROD - Marcos Marcelo Delgado'!B2)</f>
        <v/>
      </c>
      <c r="C218" s="190" t="n">
        <v>0</v>
      </c>
      <c r="D218" s="190" t="n">
        <v>0</v>
      </c>
      <c r="E218" s="190" t="n">
        <v>0</v>
      </c>
      <c r="F218" s="190" t="n">
        <v>0</v>
      </c>
      <c r="G218" s="190" t="n">
        <v>0</v>
      </c>
      <c r="H218" s="190" t="n">
        <v>0</v>
      </c>
      <c r="I218" s="190" t="n">
        <v>0</v>
      </c>
      <c r="J218" s="190" t="n">
        <v>0</v>
      </c>
      <c r="K218" s="190" t="n">
        <v>0</v>
      </c>
      <c r="L218" s="190" t="n">
        <v>0</v>
      </c>
      <c r="M218" s="190" t="n">
        <v>0</v>
      </c>
      <c r="N218" s="190" t="n">
        <v>0</v>
      </c>
      <c r="O218" s="190" t="n">
        <v>0</v>
      </c>
      <c r="P218" s="190" t="n">
        <v>0</v>
      </c>
      <c r="Q218" s="190" t="n">
        <v>0</v>
      </c>
      <c r="R218" s="190" t="n">
        <v>0</v>
      </c>
      <c r="S218" s="323" t="n">
        <v>0</v>
      </c>
      <c r="T218" s="190" t="n">
        <v>0</v>
      </c>
      <c r="U218" s="190" t="n">
        <v>0</v>
      </c>
    </row>
    <row r="219" ht="15" customHeight="1" s="163">
      <c r="A219" s="188" t="n"/>
      <c r="B219" s="189">
        <f>HYPERLINK("#'PROD - Miguel Fernando Almeida'!A1",'PROD - Miguel Fernando Almeida'!B2)</f>
        <v/>
      </c>
      <c r="C219" s="190" t="n">
        <v>0</v>
      </c>
      <c r="D219" s="190" t="n">
        <v>0</v>
      </c>
      <c r="E219" s="190" t="n">
        <v>0</v>
      </c>
      <c r="F219" s="190" t="n">
        <v>0</v>
      </c>
      <c r="G219" s="190" t="n">
        <v>0</v>
      </c>
      <c r="H219" s="190" t="n">
        <v>0</v>
      </c>
      <c r="I219" s="190" t="n">
        <v>0</v>
      </c>
      <c r="J219" s="190" t="n">
        <v>0</v>
      </c>
      <c r="K219" s="190" t="n">
        <v>0</v>
      </c>
      <c r="L219" s="190" t="n">
        <v>0</v>
      </c>
      <c r="M219" s="190" t="n">
        <v>0</v>
      </c>
      <c r="N219" s="190" t="n">
        <v>0</v>
      </c>
      <c r="O219" s="190" t="n">
        <v>0</v>
      </c>
      <c r="P219" s="190" t="n">
        <v>0</v>
      </c>
      <c r="Q219" s="190" t="n">
        <v>0</v>
      </c>
      <c r="R219" s="190" t="n">
        <v>0</v>
      </c>
      <c r="S219" s="323" t="n">
        <v>0</v>
      </c>
      <c r="T219" s="190" t="n">
        <v>0</v>
      </c>
      <c r="U219" s="190" t="n">
        <v>0</v>
      </c>
    </row>
    <row r="220" ht="15" customHeight="1" s="163">
      <c r="A220" s="188" t="n"/>
      <c r="B220" s="189">
        <f>HYPERLINK("#'PROD - Nilson Ferreira Silva'!A1",'PROD - Nilson Ferreira Silva'!B2)</f>
        <v/>
      </c>
      <c r="C220" s="190" t="n">
        <v>0</v>
      </c>
      <c r="D220" s="190" t="n">
        <v>0</v>
      </c>
      <c r="E220" s="190" t="n">
        <v>0</v>
      </c>
      <c r="F220" s="190" t="n">
        <v>0</v>
      </c>
      <c r="G220" s="190" t="n">
        <v>0</v>
      </c>
      <c r="H220" s="190" t="n">
        <v>0</v>
      </c>
      <c r="I220" s="190" t="n">
        <v>0</v>
      </c>
      <c r="J220" s="190" t="n">
        <v>0</v>
      </c>
      <c r="K220" s="190" t="n">
        <v>0</v>
      </c>
      <c r="L220" s="190" t="n">
        <v>0</v>
      </c>
      <c r="M220" s="190" t="n">
        <v>0</v>
      </c>
      <c r="N220" s="190" t="n">
        <v>0</v>
      </c>
      <c r="O220" s="190" t="n">
        <v>0</v>
      </c>
      <c r="P220" s="190" t="n">
        <v>0</v>
      </c>
      <c r="Q220" s="190" t="n">
        <v>0</v>
      </c>
      <c r="R220" s="190" t="n">
        <v>0</v>
      </c>
      <c r="S220" s="323" t="n">
        <v>0</v>
      </c>
      <c r="T220" s="190" t="n">
        <v>0</v>
      </c>
      <c r="U220" s="190" t="n">
        <v>0</v>
      </c>
    </row>
    <row r="221" ht="15" customHeight="1" s="163">
      <c r="A221" s="188" t="n"/>
      <c r="B221" s="189">
        <f>HYPERLINK("#'PROD - Renato Jose Silva'!A1",'PROD - Renato Jose Silva'!B2)</f>
        <v/>
      </c>
      <c r="C221" s="190" t="n">
        <v>0</v>
      </c>
      <c r="D221" s="190" t="n">
        <v>0</v>
      </c>
      <c r="E221" s="190" t="n">
        <v>0</v>
      </c>
      <c r="F221" s="190" t="n">
        <v>0</v>
      </c>
      <c r="G221" s="190" t="n">
        <v>0</v>
      </c>
      <c r="H221" s="190" t="n">
        <v>0</v>
      </c>
      <c r="I221" s="190" t="n">
        <v>0</v>
      </c>
      <c r="J221" s="190" t="n">
        <v>0</v>
      </c>
      <c r="K221" s="190" t="n">
        <v>0</v>
      </c>
      <c r="L221" s="190" t="n">
        <v>0</v>
      </c>
      <c r="M221" s="190" t="n">
        <v>0</v>
      </c>
      <c r="N221" s="190" t="n">
        <v>0</v>
      </c>
      <c r="O221" s="190" t="n">
        <v>0</v>
      </c>
      <c r="P221" s="190" t="n">
        <v>0</v>
      </c>
      <c r="Q221" s="190" t="n">
        <v>0</v>
      </c>
      <c r="R221" s="190" t="n">
        <v>0</v>
      </c>
      <c r="S221" s="323" t="n">
        <v>0</v>
      </c>
      <c r="T221" s="190" t="n">
        <v>0</v>
      </c>
      <c r="U221" s="190" t="n">
        <v>0</v>
      </c>
    </row>
    <row r="222" ht="15" customHeight="1" s="163">
      <c r="A222" s="188" t="n"/>
      <c r="B222" s="189">
        <f>HYPERLINK("#'PROD - Rodolfo Azevedo Andrade'!A1",'PROD - Rodolfo Azevedo Andrade'!B2)</f>
        <v/>
      </c>
      <c r="C222" s="190" t="n">
        <v>0</v>
      </c>
      <c r="D222" s="190" t="n">
        <v>0</v>
      </c>
      <c r="E222" s="190" t="n">
        <v>0</v>
      </c>
      <c r="F222" s="190" t="n">
        <v>0</v>
      </c>
      <c r="G222" s="190" t="n">
        <v>0</v>
      </c>
      <c r="H222" s="190" t="n">
        <v>0</v>
      </c>
      <c r="I222" s="190" t="n">
        <v>0</v>
      </c>
      <c r="J222" s="190" t="n">
        <v>0</v>
      </c>
      <c r="K222" s="190" t="n">
        <v>0</v>
      </c>
      <c r="L222" s="190" t="n">
        <v>0</v>
      </c>
      <c r="M222" s="190" t="n">
        <v>0</v>
      </c>
      <c r="N222" s="190" t="n">
        <v>0</v>
      </c>
      <c r="O222" s="190" t="n">
        <v>0</v>
      </c>
      <c r="P222" s="190" t="n">
        <v>0</v>
      </c>
      <c r="Q222" s="190" t="n">
        <v>0</v>
      </c>
      <c r="R222" s="190" t="n">
        <v>0</v>
      </c>
      <c r="S222" s="323" t="n">
        <v>0</v>
      </c>
      <c r="T222" s="190" t="n">
        <v>0</v>
      </c>
      <c r="U222" s="190" t="n">
        <v>0</v>
      </c>
    </row>
    <row r="223" ht="15" customHeight="1" s="163">
      <c r="A223" s="191" t="inlineStr">
        <is>
          <t>TOTAL</t>
        </is>
      </c>
      <c r="B223" s="192" t="inlineStr">
        <is>
          <t>PEDIDO AOS PRODUTORES</t>
        </is>
      </c>
      <c r="C223" s="193">
        <f>SUM(C201:C222)</f>
        <v/>
      </c>
      <c r="D223" s="193">
        <f>SUM(D201:D222)</f>
        <v/>
      </c>
      <c r="E223" s="193">
        <f>SUM(E201:E222)</f>
        <v/>
      </c>
      <c r="F223" s="193">
        <f>SUM(F201:F222)</f>
        <v/>
      </c>
      <c r="G223" s="193">
        <f>SUM(G201:G222)</f>
        <v/>
      </c>
      <c r="H223" s="193">
        <f>SUM(H201:H222)</f>
        <v/>
      </c>
      <c r="I223" s="193">
        <f>SUM(I201:I222)</f>
        <v/>
      </c>
      <c r="J223" s="193">
        <f>SUM(J201:J222)</f>
        <v/>
      </c>
      <c r="K223" s="193">
        <f>SUM(K201:K222)</f>
        <v/>
      </c>
      <c r="L223" s="193">
        <f>SUM(L201:L222)</f>
        <v/>
      </c>
      <c r="M223" s="193">
        <f>SUM(M201:M222)</f>
        <v/>
      </c>
      <c r="N223" s="193">
        <f>SUM(N201:N222)</f>
        <v/>
      </c>
      <c r="O223" s="193">
        <f>SUM(O201:O222)</f>
        <v/>
      </c>
      <c r="P223" s="193">
        <f>SUM(P201:P222)</f>
        <v/>
      </c>
      <c r="Q223" s="193">
        <f>SUM(Q201:Q222)</f>
        <v/>
      </c>
      <c r="R223" s="193">
        <f>SUM(R201:R222)</f>
        <v/>
      </c>
      <c r="S223" s="193">
        <f>SUM(S201:S222)</f>
        <v/>
      </c>
      <c r="T223" s="193">
        <f>SUM(T201:T222)</f>
        <v/>
      </c>
      <c r="U223" s="193">
        <f>SUM(U201:U222)</f>
        <v/>
      </c>
    </row>
    <row r="224" ht="15" customHeight="1" s="163">
      <c r="A224" s="195" t="n"/>
      <c r="B224" s="195" t="n"/>
      <c r="C224" s="196" t="n"/>
      <c r="D224" s="197" t="n"/>
      <c r="E224" s="197" t="n"/>
      <c r="F224" s="197" t="n"/>
      <c r="G224" s="197" t="n"/>
      <c r="H224" s="197" t="n"/>
      <c r="I224" s="197" t="n"/>
      <c r="J224" s="197" t="n"/>
      <c r="K224" s="197" t="n"/>
      <c r="L224" s="197" t="n"/>
      <c r="M224" s="197" t="n"/>
      <c r="N224" s="197" t="n"/>
      <c r="O224" s="197" t="n"/>
      <c r="P224" s="197" t="n"/>
      <c r="Q224" s="197" t="n"/>
      <c r="R224" s="197" t="n"/>
      <c r="S224" s="197" t="n"/>
      <c r="T224" s="197" t="n"/>
      <c r="U224" s="197" t="n"/>
    </row>
    <row r="225" ht="21.75" customHeight="1" s="163">
      <c r="A225" s="198" t="inlineStr">
        <is>
          <t>ENTREGA DOS PRODUTORES (kg) — o que realmente chegou no galpão</t>
        </is>
      </c>
      <c r="B225" s="199" t="n"/>
      <c r="C225" s="200" t="n"/>
      <c r="D225" s="200" t="n"/>
      <c r="E225" s="200" t="n"/>
      <c r="F225" s="200" t="n"/>
      <c r="G225" s="200" t="n"/>
      <c r="H225" s="200" t="n"/>
      <c r="I225" s="200" t="n"/>
      <c r="J225" s="200" t="n"/>
      <c r="K225" s="200" t="n"/>
      <c r="L225" s="200" t="n"/>
      <c r="M225" s="200" t="n"/>
      <c r="N225" s="200" t="n"/>
      <c r="O225" s="200" t="n"/>
      <c r="P225" s="200" t="n"/>
      <c r="Q225" s="200" t="n"/>
      <c r="R225" s="200" t="n"/>
      <c r="S225" s="200" t="n"/>
      <c r="T225" s="200" t="n"/>
      <c r="U225" s="200" t="n"/>
      <c r="V225" s="194" t="n"/>
    </row>
    <row r="226" ht="30" customHeight="1" s="163">
      <c r="A226" s="187" t="inlineStr">
        <is>
          <t>—</t>
        </is>
      </c>
      <c r="B226" s="187" t="inlineStr">
        <is>
          <t>PRODUTOR</t>
        </is>
      </c>
      <c r="C226" s="201" t="inlineStr">
        <is>
          <t>Abacate</t>
        </is>
      </c>
      <c r="D226" s="201" t="inlineStr">
        <is>
          <t>Abobrinha</t>
        </is>
      </c>
      <c r="E226" s="201" t="inlineStr">
        <is>
          <t>Agrião</t>
        </is>
      </c>
      <c r="F226" s="201" t="inlineStr">
        <is>
          <t>Alface lisa</t>
        </is>
      </c>
      <c r="G226" s="201" t="inlineStr">
        <is>
          <t>Banana prata</t>
        </is>
      </c>
      <c r="H226" s="201" t="inlineStr">
        <is>
          <t>Batata inglesa</t>
        </is>
      </c>
      <c r="I226" s="201" t="inlineStr">
        <is>
          <t>Beterraba</t>
        </is>
      </c>
      <c r="J226" s="201" t="inlineStr">
        <is>
          <t>Brócolis</t>
        </is>
      </c>
      <c r="K226" s="201" t="inlineStr">
        <is>
          <t>Cenoura</t>
        </is>
      </c>
      <c r="L226" s="201" t="inlineStr">
        <is>
          <t>Cheiro verde</t>
        </is>
      </c>
      <c r="M226" s="201" t="inlineStr">
        <is>
          <t>Chuchu</t>
        </is>
      </c>
      <c r="N226" s="201" t="inlineStr">
        <is>
          <t>Couve manteiga</t>
        </is>
      </c>
      <c r="O226" s="201" t="inlineStr">
        <is>
          <t>Couve-flor</t>
        </is>
      </c>
      <c r="P226" s="201" t="inlineStr">
        <is>
          <t>Espinafre</t>
        </is>
      </c>
      <c r="Q226" s="201" t="inlineStr">
        <is>
          <t>Maçã gala</t>
        </is>
      </c>
      <c r="R226" s="201" t="inlineStr">
        <is>
          <t>Mel</t>
        </is>
      </c>
      <c r="S226" s="201" t="inlineStr">
        <is>
          <t>Ovos</t>
        </is>
      </c>
      <c r="T226" s="201" t="inlineStr">
        <is>
          <t>Repolho</t>
        </is>
      </c>
      <c r="U226" s="201" t="inlineStr">
        <is>
          <t>Tangerina ponkan</t>
        </is>
      </c>
      <c r="V226" s="187" t="inlineStr">
        <is>
          <t>DEVOLUÇÃO</t>
        </is>
      </c>
    </row>
    <row r="227" ht="15" customHeight="1" s="163">
      <c r="A227" s="188" t="n"/>
      <c r="B227" s="195">
        <f>'PROD - Ana C. C. R. Souza'!B2</f>
        <v/>
      </c>
      <c r="C227" s="190" t="n"/>
      <c r="D227" s="190" t="n"/>
      <c r="E227" s="190" t="n"/>
      <c r="F227" s="190" t="n"/>
      <c r="G227" s="190" t="n"/>
      <c r="H227" s="190" t="n"/>
      <c r="I227" s="190" t="n"/>
      <c r="J227" s="190" t="n"/>
      <c r="K227" s="190" t="n"/>
      <c r="L227" s="190" t="n"/>
      <c r="M227" s="190" t="n"/>
      <c r="N227" s="190" t="n"/>
      <c r="O227" s="190" t="n"/>
      <c r="P227" s="190" t="n"/>
      <c r="Q227" s="190" t="n"/>
      <c r="R227" s="190" t="n"/>
      <c r="S227" s="323" t="n"/>
      <c r="T227" s="190" t="n"/>
      <c r="U227" s="190" t="n"/>
      <c r="V227" s="202">
        <f>HYPERLINK("#'PROD - Ana C. C. R. Souza'!A1","Anotar devolução ►")</f>
        <v/>
      </c>
    </row>
    <row r="228" ht="15" customHeight="1" s="163">
      <c r="A228" s="188" t="n"/>
      <c r="B228" s="195">
        <f>'PROD - Anderson Mello Quimas'!B2</f>
        <v/>
      </c>
      <c r="C228" s="190" t="n"/>
      <c r="D228" s="190" t="n"/>
      <c r="E228" s="190" t="n"/>
      <c r="F228" s="190" t="n"/>
      <c r="G228" s="190" t="n"/>
      <c r="H228" s="190" t="n"/>
      <c r="I228" s="190" t="n"/>
      <c r="J228" s="190" t="n"/>
      <c r="K228" s="190" t="n"/>
      <c r="L228" s="190" t="n"/>
      <c r="M228" s="190" t="n"/>
      <c r="N228" s="190" t="n"/>
      <c r="O228" s="190" t="n"/>
      <c r="P228" s="190" t="n"/>
      <c r="Q228" s="190" t="n"/>
      <c r="R228" s="190" t="n"/>
      <c r="S228" s="323" t="n"/>
      <c r="T228" s="190" t="n"/>
      <c r="U228" s="190" t="n"/>
      <c r="V228" s="202">
        <f>HYPERLINK("#'PROD - Anderson Mello Quimas'!A1","Anotar devolução ►")</f>
        <v/>
      </c>
    </row>
    <row r="229" ht="15" customHeight="1" s="163">
      <c r="A229" s="188" t="n"/>
      <c r="B229" s="195">
        <f>'PROD - Armando Jose Silva'!B2</f>
        <v/>
      </c>
      <c r="C229" s="190" t="n"/>
      <c r="D229" s="190" t="n"/>
      <c r="E229" s="190" t="n"/>
      <c r="F229" s="190" t="n"/>
      <c r="G229" s="190" t="n"/>
      <c r="H229" s="190" t="n"/>
      <c r="I229" s="190" t="n"/>
      <c r="J229" s="190" t="n"/>
      <c r="K229" s="190" t="n"/>
      <c r="L229" s="190" t="n"/>
      <c r="M229" s="190" t="n"/>
      <c r="N229" s="190" t="n"/>
      <c r="O229" s="190" t="n"/>
      <c r="P229" s="190" t="n"/>
      <c r="Q229" s="190" t="n"/>
      <c r="R229" s="190" t="n"/>
      <c r="S229" s="323" t="n"/>
      <c r="T229" s="190" t="n"/>
      <c r="U229" s="190" t="n"/>
      <c r="V229" s="202">
        <f>HYPERLINK("#'PROD - Armando Jose Silva'!A1","Anotar devolução ►")</f>
        <v/>
      </c>
    </row>
    <row r="230" ht="15" customHeight="1" s="163">
      <c r="A230" s="188" t="n"/>
      <c r="B230" s="195">
        <f>'PROD - Arnaldo Silva'!B2</f>
        <v/>
      </c>
      <c r="C230" s="190" t="n">
        <v>0</v>
      </c>
      <c r="D230" s="190" t="n"/>
      <c r="E230" s="190" t="n"/>
      <c r="F230" s="190" t="n"/>
      <c r="G230" s="190" t="n"/>
      <c r="H230" s="190" t="n"/>
      <c r="I230" s="190" t="n"/>
      <c r="J230" s="190" t="n"/>
      <c r="K230" s="190" t="n"/>
      <c r="L230" s="190" t="n"/>
      <c r="M230" s="190" t="n"/>
      <c r="N230" s="190" t="n"/>
      <c r="O230" s="190" t="n"/>
      <c r="P230" s="190" t="n"/>
      <c r="Q230" s="190" t="n"/>
      <c r="R230" s="190" t="n"/>
      <c r="S230" s="323" t="n"/>
      <c r="T230" s="190" t="n"/>
      <c r="U230" s="190" t="n"/>
      <c r="V230" s="202">
        <f>HYPERLINK("#'PROD - Arnaldo Silva'!A1","Anotar devolução ►")</f>
        <v/>
      </c>
    </row>
    <row r="231" ht="15" customHeight="1" s="163">
      <c r="A231" s="188" t="n"/>
      <c r="B231" s="195">
        <f>'PROD - Claudeni R. Xavier'!B2</f>
        <v/>
      </c>
      <c r="C231" s="190" t="n"/>
      <c r="D231" s="190" t="n"/>
      <c r="E231" s="190" t="n"/>
      <c r="F231" s="190" t="n"/>
      <c r="G231" s="190" t="n"/>
      <c r="H231" s="190" t="n"/>
      <c r="I231" s="190" t="n"/>
      <c r="J231" s="190" t="n"/>
      <c r="K231" s="190" t="n"/>
      <c r="L231" s="190" t="n"/>
      <c r="M231" s="190" t="n"/>
      <c r="N231" s="190" t="n"/>
      <c r="O231" s="190" t="n"/>
      <c r="P231" s="190" t="n"/>
      <c r="Q231" s="190" t="n"/>
      <c r="R231" s="190" t="n"/>
      <c r="S231" s="323" t="n"/>
      <c r="T231" s="190" t="n"/>
      <c r="U231" s="190" t="n"/>
      <c r="V231" s="202">
        <f>HYPERLINK("#'PROD - Claudeni R. Xavier'!A1","Anotar devolução ►")</f>
        <v/>
      </c>
    </row>
    <row r="232" ht="15" customHeight="1" s="163">
      <c r="A232" s="188" t="n"/>
      <c r="B232" s="195">
        <f>'PROD - Edson Jose Silva'!B2</f>
        <v/>
      </c>
      <c r="C232" s="190" t="n"/>
      <c r="D232" s="190" t="n"/>
      <c r="E232" s="190" t="n"/>
      <c r="F232" s="190" t="n"/>
      <c r="G232" s="190" t="n"/>
      <c r="H232" s="190" t="n"/>
      <c r="I232" s="190" t="n"/>
      <c r="J232" s="190" t="n"/>
      <c r="K232" s="190" t="n"/>
      <c r="L232" s="190" t="n"/>
      <c r="M232" s="190" t="n"/>
      <c r="N232" s="190" t="n"/>
      <c r="O232" s="190" t="n"/>
      <c r="P232" s="190" t="n"/>
      <c r="Q232" s="190" t="n"/>
      <c r="R232" s="190" t="n"/>
      <c r="S232" s="323" t="n"/>
      <c r="T232" s="190" t="n"/>
      <c r="U232" s="190" t="n"/>
      <c r="V232" s="202">
        <f>HYPERLINK("#'PROD - Edson Jose Silva'!A1","Anotar devolução ►")</f>
        <v/>
      </c>
    </row>
    <row r="233" ht="15" customHeight="1" s="163">
      <c r="A233" s="188" t="n"/>
      <c r="B233" s="195">
        <f>'PROD - Gabriel Adriano Souza'!B2</f>
        <v/>
      </c>
      <c r="C233" s="190" t="n"/>
      <c r="D233" s="190" t="n"/>
      <c r="E233" s="190" t="n"/>
      <c r="F233" s="190" t="n"/>
      <c r="G233" s="190" t="n"/>
      <c r="H233" s="190" t="n"/>
      <c r="I233" s="190" t="n"/>
      <c r="J233" s="190" t="n"/>
      <c r="K233" s="190" t="n"/>
      <c r="L233" s="190" t="n"/>
      <c r="M233" s="190" t="n"/>
      <c r="N233" s="190" t="n"/>
      <c r="O233" s="190" t="n"/>
      <c r="P233" s="190" t="n"/>
      <c r="Q233" s="190" t="n"/>
      <c r="R233" s="190" t="n"/>
      <c r="S233" s="323" t="n"/>
      <c r="T233" s="190" t="n"/>
      <c r="U233" s="190" t="n"/>
      <c r="V233" s="202">
        <f>HYPERLINK("#'PROD - Gabriel Adriano Souza'!A1","Anotar devolução ►")</f>
        <v/>
      </c>
    </row>
    <row r="234" ht="15" customHeight="1" s="163">
      <c r="A234" s="188" t="n"/>
      <c r="B234" s="195">
        <f>'PROD - Gustavo Mello Rodrigues'!B2</f>
        <v/>
      </c>
      <c r="C234" s="190" t="n"/>
      <c r="D234" s="190" t="n"/>
      <c r="E234" s="190" t="n"/>
      <c r="F234" s="190" t="n"/>
      <c r="G234" s="190" t="n"/>
      <c r="H234" s="190" t="n"/>
      <c r="I234" s="190" t="n"/>
      <c r="J234" s="190" t="n"/>
      <c r="K234" s="190" t="n"/>
      <c r="L234" s="190" t="n"/>
      <c r="M234" s="190" t="n"/>
      <c r="N234" s="190" t="n"/>
      <c r="O234" s="190" t="n"/>
      <c r="P234" s="190" t="n"/>
      <c r="Q234" s="190" t="n"/>
      <c r="R234" s="190" t="n"/>
      <c r="S234" s="323" t="n"/>
      <c r="T234" s="190" t="n"/>
      <c r="U234" s="190" t="n"/>
      <c r="V234" s="202">
        <f>HYPERLINK("#'PROD - Gustavo Mello Rodrigues'!A1","Anotar devolução ►")</f>
        <v/>
      </c>
    </row>
    <row r="235" ht="15" customHeight="1" s="163">
      <c r="A235" s="188" t="n"/>
      <c r="B235" s="195">
        <f>'PROD - Joaquim Sergio Lage'!B2</f>
        <v/>
      </c>
      <c r="C235" s="190" t="n"/>
      <c r="D235" s="190" t="n"/>
      <c r="E235" s="190" t="n"/>
      <c r="F235" s="190" t="n"/>
      <c r="G235" s="190" t="n"/>
      <c r="H235" s="190" t="n"/>
      <c r="I235" s="190" t="n"/>
      <c r="J235" s="190" t="n"/>
      <c r="K235" s="190" t="n"/>
      <c r="L235" s="190" t="n"/>
      <c r="M235" s="190" t="n"/>
      <c r="N235" s="190" t="n"/>
      <c r="O235" s="190" t="n"/>
      <c r="P235" s="190" t="n"/>
      <c r="Q235" s="190" t="n"/>
      <c r="R235" s="190" t="n"/>
      <c r="S235" s="323" t="n"/>
      <c r="T235" s="190" t="n"/>
      <c r="U235" s="190" t="n"/>
      <c r="V235" s="202">
        <f>HYPERLINK("#'PROD - Joaquim Sergio Lage'!A1","Anotar devolução ►")</f>
        <v/>
      </c>
    </row>
    <row r="236" ht="15" customHeight="1" s="163">
      <c r="A236" s="188" t="n"/>
      <c r="B236" s="195">
        <f>'PROD - Jorge G. P. Diniz'!B2</f>
        <v/>
      </c>
      <c r="C236" s="190" t="n"/>
      <c r="D236" s="190" t="n"/>
      <c r="E236" s="190" t="n"/>
      <c r="F236" s="190" t="n"/>
      <c r="G236" s="190" t="n"/>
      <c r="H236" s="190" t="n"/>
      <c r="I236" s="190" t="n"/>
      <c r="J236" s="190" t="n"/>
      <c r="K236" s="190" t="n"/>
      <c r="L236" s="190" t="n"/>
      <c r="M236" s="190" t="n"/>
      <c r="N236" s="190" t="n"/>
      <c r="O236" s="190" t="n"/>
      <c r="P236" s="190" t="n"/>
      <c r="Q236" s="190" t="n"/>
      <c r="R236" s="190" t="n"/>
      <c r="S236" s="323" t="n"/>
      <c r="T236" s="190" t="n"/>
      <c r="U236" s="190" t="n"/>
      <c r="V236" s="202">
        <f>HYPERLINK("#'PROD - Jorge G. P. Diniz'!A1","Anotar devolução ►")</f>
        <v/>
      </c>
    </row>
    <row r="237" ht="15" customHeight="1" s="163">
      <c r="A237" s="188" t="n"/>
      <c r="B237" s="195">
        <f>'PROD - Jose G. S. Mello'!B2</f>
        <v/>
      </c>
      <c r="C237" s="190" t="n"/>
      <c r="D237" s="190" t="n"/>
      <c r="E237" s="190" t="n"/>
      <c r="F237" s="190" t="n"/>
      <c r="G237" s="190" t="n"/>
      <c r="H237" s="190" t="n"/>
      <c r="I237" s="190" t="n"/>
      <c r="J237" s="190" t="n"/>
      <c r="K237" s="190" t="n"/>
      <c r="L237" s="190" t="n"/>
      <c r="M237" s="190" t="n"/>
      <c r="N237" s="190" t="n"/>
      <c r="O237" s="190" t="n"/>
      <c r="P237" s="190" t="n"/>
      <c r="Q237" s="190" t="n"/>
      <c r="R237" s="190" t="n"/>
      <c r="S237" s="323" t="n"/>
      <c r="T237" s="190" t="n"/>
      <c r="U237" s="190" t="n"/>
      <c r="V237" s="202">
        <f>HYPERLINK("#'PROD - Jose G. S. Mello'!A1","Anotar devolução ►")</f>
        <v/>
      </c>
    </row>
    <row r="238" ht="15" customHeight="1" s="163">
      <c r="A238" s="188" t="n"/>
      <c r="B238" s="195">
        <f>'PROD - Jose Rodrigues Melo'!B2</f>
        <v/>
      </c>
      <c r="C238" s="190" t="n"/>
      <c r="D238" s="190" t="n"/>
      <c r="E238" s="190" t="n"/>
      <c r="F238" s="190" t="n"/>
      <c r="G238" s="190" t="n"/>
      <c r="H238" s="190" t="n"/>
      <c r="I238" s="190" t="n"/>
      <c r="J238" s="190" t="n"/>
      <c r="K238" s="190" t="n"/>
      <c r="L238" s="190" t="n"/>
      <c r="M238" s="190" t="n"/>
      <c r="N238" s="190" t="n"/>
      <c r="O238" s="190" t="n"/>
      <c r="P238" s="190" t="n"/>
      <c r="Q238" s="190" t="n"/>
      <c r="R238" s="190" t="n"/>
      <c r="S238" s="323" t="n"/>
      <c r="T238" s="190" t="n"/>
      <c r="U238" s="190" t="n"/>
      <c r="V238" s="202">
        <f>HYPERLINK("#'PROD - Jose Rodrigues Melo'!A1","Anotar devolução ►")</f>
        <v/>
      </c>
    </row>
    <row r="239" ht="15" customHeight="1" s="163">
      <c r="A239" s="188" t="n"/>
      <c r="B239" s="195">
        <f>'PROD - Lucio Mauro Felix Silva'!B2</f>
        <v/>
      </c>
      <c r="C239" s="190" t="n"/>
      <c r="D239" s="190" t="n"/>
      <c r="E239" s="190" t="n"/>
      <c r="F239" s="190" t="n"/>
      <c r="G239" s="190" t="n"/>
      <c r="H239" s="190" t="n"/>
      <c r="I239" s="190" t="n"/>
      <c r="J239" s="190" t="n"/>
      <c r="K239" s="190" t="n"/>
      <c r="L239" s="190" t="n"/>
      <c r="M239" s="190" t="n"/>
      <c r="N239" s="190" t="n"/>
      <c r="O239" s="190" t="n"/>
      <c r="P239" s="190" t="n"/>
      <c r="Q239" s="190" t="n"/>
      <c r="R239" s="190" t="n"/>
      <c r="S239" s="323" t="n"/>
      <c r="T239" s="190" t="n"/>
      <c r="U239" s="190" t="n"/>
      <c r="V239" s="202">
        <f>HYPERLINK("#'PROD - Lucio Mauro Felix Silva'!A1","Anotar devolução ►")</f>
        <v/>
      </c>
    </row>
    <row r="240" ht="15" customHeight="1" s="163">
      <c r="A240" s="188" t="n"/>
      <c r="B240" s="195">
        <f>'PROD - Luiz A. O. Pinto'!B2</f>
        <v/>
      </c>
      <c r="C240" s="190" t="n"/>
      <c r="D240" s="190" t="n"/>
      <c r="E240" s="190" t="n"/>
      <c r="F240" s="190" t="n"/>
      <c r="G240" s="190" t="n"/>
      <c r="H240" s="190" t="n"/>
      <c r="I240" s="190" t="n"/>
      <c r="J240" s="190" t="n"/>
      <c r="K240" s="190" t="n"/>
      <c r="L240" s="190" t="n"/>
      <c r="M240" s="190" t="n"/>
      <c r="N240" s="190" t="n"/>
      <c r="O240" s="190" t="n"/>
      <c r="P240" s="190" t="n"/>
      <c r="Q240" s="190" t="n"/>
      <c r="R240" s="190" t="n"/>
      <c r="S240" s="323" t="n"/>
      <c r="T240" s="190" t="n"/>
      <c r="U240" s="190" t="n"/>
      <c r="V240" s="202">
        <f>HYPERLINK("#'PROD - Luiz A. O. Pinto'!A1","Anotar devolução ►")</f>
        <v/>
      </c>
    </row>
    <row r="241" ht="15" customHeight="1" s="163">
      <c r="A241" s="188" t="n"/>
      <c r="B241" s="195">
        <f>'PROD - Marcelo Marcos Delgado'!B2</f>
        <v/>
      </c>
      <c r="C241" s="190" t="n"/>
      <c r="D241" s="190" t="n"/>
      <c r="E241" s="190" t="n"/>
      <c r="F241" s="190" t="n"/>
      <c r="G241" s="190" t="n"/>
      <c r="H241" s="190" t="n"/>
      <c r="I241" s="190" t="n"/>
      <c r="J241" s="190" t="n"/>
      <c r="K241" s="190" t="n"/>
      <c r="L241" s="190" t="n"/>
      <c r="M241" s="190" t="n"/>
      <c r="N241" s="190" t="n"/>
      <c r="O241" s="190" t="n"/>
      <c r="P241" s="190" t="n"/>
      <c r="Q241" s="190" t="n"/>
      <c r="R241" s="190" t="n"/>
      <c r="S241" s="323" t="n"/>
      <c r="T241" s="190" t="n"/>
      <c r="U241" s="190" t="n"/>
      <c r="V241" s="202">
        <f>HYPERLINK("#'PROD - Marcelo Marcos Delgado'!A1","Anotar devolução ►")</f>
        <v/>
      </c>
    </row>
    <row r="242" ht="15" customHeight="1" s="163">
      <c r="A242" s="188" t="n"/>
      <c r="B242" s="195">
        <f>'PROD - Marcio Azevedo Souza'!B2</f>
        <v/>
      </c>
      <c r="C242" s="190" t="n"/>
      <c r="D242" s="190" t="n"/>
      <c r="E242" s="190" t="n"/>
      <c r="F242" s="190" t="n"/>
      <c r="G242" s="190" t="n"/>
      <c r="H242" s="190" t="n"/>
      <c r="I242" s="190" t="n"/>
      <c r="J242" s="190" t="n"/>
      <c r="K242" s="190" t="n"/>
      <c r="L242" s="190" t="n"/>
      <c r="M242" s="190" t="n"/>
      <c r="N242" s="190" t="n"/>
      <c r="O242" s="190" t="n"/>
      <c r="P242" s="190" t="n"/>
      <c r="Q242" s="190" t="n"/>
      <c r="R242" s="190" t="n"/>
      <c r="S242" s="323" t="n"/>
      <c r="T242" s="190" t="n"/>
      <c r="U242" s="190" t="n"/>
      <c r="V242" s="202">
        <f>HYPERLINK("#'PROD - Marcio Azevedo Souza'!A1","Anotar devolução ►")</f>
        <v/>
      </c>
    </row>
    <row r="243" ht="15" customHeight="1" s="163">
      <c r="A243" s="188" t="n"/>
      <c r="B243" s="195">
        <f>'PROD - Marco Antonio Coelho'!B2</f>
        <v/>
      </c>
      <c r="C243" s="190" t="n"/>
      <c r="D243" s="190" t="n"/>
      <c r="E243" s="190" t="n"/>
      <c r="F243" s="190" t="n"/>
      <c r="G243" s="190" t="n"/>
      <c r="H243" s="190" t="n"/>
      <c r="I243" s="190" t="n"/>
      <c r="J243" s="190" t="n"/>
      <c r="K243" s="190" t="n"/>
      <c r="L243" s="190" t="n"/>
      <c r="M243" s="190" t="n"/>
      <c r="N243" s="190" t="n"/>
      <c r="O243" s="190" t="n"/>
      <c r="P243" s="190" t="n"/>
      <c r="Q243" s="190" t="n"/>
      <c r="R243" s="190" t="n"/>
      <c r="S243" s="323" t="n"/>
      <c r="T243" s="190" t="n"/>
      <c r="U243" s="190" t="n"/>
      <c r="V243" s="202">
        <f>HYPERLINK("#'PROD - Marco Antonio Coelho'!A1","Anotar devolução ►")</f>
        <v/>
      </c>
    </row>
    <row r="244" ht="15" customHeight="1" s="163">
      <c r="A244" s="188" t="n"/>
      <c r="B244" s="195">
        <f>'PROD - Marcos Marcelo Delgado'!B2</f>
        <v/>
      </c>
      <c r="C244" s="190" t="n"/>
      <c r="D244" s="190" t="n"/>
      <c r="E244" s="190" t="n"/>
      <c r="F244" s="190" t="n"/>
      <c r="G244" s="190" t="n"/>
      <c r="H244" s="190" t="n"/>
      <c r="I244" s="190" t="n"/>
      <c r="J244" s="190" t="n"/>
      <c r="K244" s="190" t="n"/>
      <c r="L244" s="190" t="n"/>
      <c r="M244" s="190" t="n"/>
      <c r="N244" s="190" t="n"/>
      <c r="O244" s="190" t="n"/>
      <c r="P244" s="190" t="n"/>
      <c r="Q244" s="190" t="n"/>
      <c r="R244" s="190" t="n"/>
      <c r="S244" s="323" t="n"/>
      <c r="T244" s="190" t="n"/>
      <c r="U244" s="190" t="n"/>
      <c r="V244" s="202">
        <f>HYPERLINK("#'PROD - Marcos Marcelo Delgado'!A1","Anotar devolução ►")</f>
        <v/>
      </c>
    </row>
    <row r="245" ht="15" customHeight="1" s="163">
      <c r="A245" s="188" t="n"/>
      <c r="B245" s="195">
        <f>'PROD - Miguel Fernando Almeida'!B2</f>
        <v/>
      </c>
      <c r="C245" s="190" t="n"/>
      <c r="D245" s="190" t="n"/>
      <c r="E245" s="190" t="n"/>
      <c r="F245" s="190" t="n"/>
      <c r="G245" s="190" t="n"/>
      <c r="H245" s="190" t="n"/>
      <c r="I245" s="190" t="n"/>
      <c r="J245" s="190" t="n"/>
      <c r="K245" s="190" t="n"/>
      <c r="L245" s="190" t="n"/>
      <c r="M245" s="190" t="n"/>
      <c r="N245" s="190" t="n"/>
      <c r="O245" s="190" t="n"/>
      <c r="P245" s="190" t="n"/>
      <c r="Q245" s="190" t="n"/>
      <c r="R245" s="190" t="n"/>
      <c r="S245" s="323" t="n"/>
      <c r="T245" s="190" t="n"/>
      <c r="U245" s="190" t="n"/>
      <c r="V245" s="202">
        <f>HYPERLINK("#'PROD - Miguel Fernando Almeida'!A1","Anotar devolução ►")</f>
        <v/>
      </c>
    </row>
    <row r="246" ht="15" customHeight="1" s="163">
      <c r="A246" s="188" t="n"/>
      <c r="B246" s="195">
        <f>'PROD - Nilson Ferreira Silva'!B2</f>
        <v/>
      </c>
      <c r="C246" s="190" t="n"/>
      <c r="D246" s="190" t="n"/>
      <c r="E246" s="190" t="n"/>
      <c r="F246" s="190" t="n"/>
      <c r="G246" s="190" t="n"/>
      <c r="H246" s="190" t="n"/>
      <c r="I246" s="190" t="n"/>
      <c r="J246" s="190" t="n"/>
      <c r="K246" s="190" t="n"/>
      <c r="L246" s="190" t="n"/>
      <c r="M246" s="190" t="n"/>
      <c r="N246" s="190" t="n"/>
      <c r="O246" s="190" t="n"/>
      <c r="P246" s="190" t="n"/>
      <c r="Q246" s="190" t="n"/>
      <c r="R246" s="190" t="n"/>
      <c r="S246" s="323" t="n"/>
      <c r="T246" s="190" t="n"/>
      <c r="U246" s="190" t="n"/>
      <c r="V246" s="202">
        <f>HYPERLINK("#'PROD - Nilson Ferreira Silva'!A1","Anotar devolução ►")</f>
        <v/>
      </c>
    </row>
    <row r="247" ht="15" customHeight="1" s="163">
      <c r="A247" s="188" t="n"/>
      <c r="B247" s="195">
        <f>'PROD - Renato Jose Silva'!B2</f>
        <v/>
      </c>
      <c r="C247" s="190" t="n"/>
      <c r="D247" s="190" t="n"/>
      <c r="E247" s="190" t="n"/>
      <c r="F247" s="190" t="n"/>
      <c r="G247" s="190" t="n"/>
      <c r="H247" s="190" t="n"/>
      <c r="I247" s="190" t="n"/>
      <c r="J247" s="190" t="n"/>
      <c r="K247" s="190" t="n"/>
      <c r="L247" s="190" t="n"/>
      <c r="M247" s="190" t="n"/>
      <c r="N247" s="190" t="n"/>
      <c r="O247" s="190" t="n"/>
      <c r="P247" s="190" t="n"/>
      <c r="Q247" s="190" t="n"/>
      <c r="R247" s="190" t="n"/>
      <c r="S247" s="323" t="n"/>
      <c r="T247" s="190" t="n"/>
      <c r="U247" s="190" t="n"/>
      <c r="V247" s="202">
        <f>HYPERLINK("#'PROD - Renato Jose Silva'!A1","Anotar devolução ►")</f>
        <v/>
      </c>
    </row>
    <row r="248" ht="15" customHeight="1" s="163">
      <c r="A248" s="188" t="n"/>
      <c r="B248" s="195">
        <f>'PROD - Rodolfo Azevedo Andrade'!B2</f>
        <v/>
      </c>
      <c r="C248" s="190" t="n"/>
      <c r="D248" s="190" t="n"/>
      <c r="E248" s="190" t="n"/>
      <c r="F248" s="190" t="n"/>
      <c r="G248" s="190" t="n"/>
      <c r="H248" s="190" t="n"/>
      <c r="I248" s="190" t="n"/>
      <c r="J248" s="190" t="n"/>
      <c r="K248" s="190" t="n"/>
      <c r="L248" s="190" t="n"/>
      <c r="M248" s="190" t="n"/>
      <c r="N248" s="190" t="n"/>
      <c r="O248" s="190" t="n"/>
      <c r="P248" s="190" t="n"/>
      <c r="Q248" s="190" t="n"/>
      <c r="R248" s="190" t="n"/>
      <c r="S248" s="323" t="n"/>
      <c r="T248" s="190" t="n"/>
      <c r="U248" s="190" t="n"/>
      <c r="V248" s="202">
        <f>HYPERLINK("#'PROD - Rodolfo Azevedo Andrade'!A1","Anotar devolução ►")</f>
        <v/>
      </c>
    </row>
    <row r="249" ht="15" customHeight="1" s="163">
      <c r="A249" s="195" t="n"/>
      <c r="B249" s="195" t="n"/>
      <c r="C249" s="196" t="n"/>
    </row>
    <row r="250" ht="15" customHeight="1" s="163">
      <c r="A250" s="191" t="inlineStr">
        <is>
          <t>TOTAL</t>
        </is>
      </c>
      <c r="B250" s="192" t="inlineStr">
        <is>
          <t>ENTREGA BRUTA PRODUTORES</t>
        </is>
      </c>
      <c r="C250" s="193">
        <f>SUM(C227:C248)+SUMIF(COMPLEMENTOS!$D$7:$D$56,C$5,COMPLEMENTOS!$E$7:$E$56)</f>
        <v/>
      </c>
      <c r="D250" s="193">
        <f>SUM(D227:D248)+SUMIF(COMPLEMENTOS!$D$7:$D$56,D$5,COMPLEMENTOS!$E$7:$E$56)</f>
        <v/>
      </c>
      <c r="E250" s="193">
        <f>SUM(E227:E248)+SUMIF(COMPLEMENTOS!$D$7:$D$56,E$5,COMPLEMENTOS!$E$7:$E$56)</f>
        <v/>
      </c>
      <c r="F250" s="193">
        <f>SUM(F227:F248)+SUMIF(COMPLEMENTOS!$D$7:$D$56,F$5,COMPLEMENTOS!$E$7:$E$56)</f>
        <v/>
      </c>
      <c r="G250" s="193">
        <f>SUM(G227:G248)+SUMIF(COMPLEMENTOS!$D$7:$D$56,G$5,COMPLEMENTOS!$E$7:$E$56)</f>
        <v/>
      </c>
      <c r="H250" s="193">
        <f>SUM(H227:H248)+SUMIF(COMPLEMENTOS!$D$7:$D$56,H$5,COMPLEMENTOS!$E$7:$E$56)</f>
        <v/>
      </c>
      <c r="I250" s="193">
        <f>SUM(I227:I248)+SUMIF(COMPLEMENTOS!$D$7:$D$56,I$5,COMPLEMENTOS!$E$7:$E$56)</f>
        <v/>
      </c>
      <c r="J250" s="193">
        <f>SUM(J227:J248)+SUMIF(COMPLEMENTOS!$D$7:$D$56,J$5,COMPLEMENTOS!$E$7:$E$56)</f>
        <v/>
      </c>
      <c r="K250" s="193">
        <f>SUM(K227:K248)+SUMIF(COMPLEMENTOS!$D$7:$D$56,K$5,COMPLEMENTOS!$E$7:$E$56)</f>
        <v/>
      </c>
      <c r="L250" s="193">
        <f>SUM(L227:L248)+SUMIF(COMPLEMENTOS!$D$7:$D$56,L$5,COMPLEMENTOS!$E$7:$E$56)</f>
        <v/>
      </c>
      <c r="M250" s="193">
        <f>SUM(M227:M248)+SUMIF(COMPLEMENTOS!$D$7:$D$56,M$5,COMPLEMENTOS!$E$7:$E$56)</f>
        <v/>
      </c>
      <c r="N250" s="193">
        <f>SUM(N227:N248)+SUMIF(COMPLEMENTOS!$D$7:$D$56,N$5,COMPLEMENTOS!$E$7:$E$56)</f>
        <v/>
      </c>
      <c r="O250" s="193">
        <f>SUM(O227:O248)+SUMIF(COMPLEMENTOS!$D$7:$D$56,O$5,COMPLEMENTOS!$E$7:$E$56)</f>
        <v/>
      </c>
      <c r="P250" s="193">
        <f>SUM(P227:P248)+SUMIF(COMPLEMENTOS!$D$7:$D$56,P$5,COMPLEMENTOS!$E$7:$E$56)</f>
        <v/>
      </c>
      <c r="Q250" s="193">
        <f>SUM(Q227:Q248)+SUMIF(COMPLEMENTOS!$D$7:$D$56,Q$5,COMPLEMENTOS!$E$7:$E$56)</f>
        <v/>
      </c>
      <c r="R250" s="193">
        <f>SUM(R227:R248)+SUMIF(COMPLEMENTOS!$D$7:$D$56,R$5,COMPLEMENTOS!$E$7:$E$56)</f>
        <v/>
      </c>
      <c r="S250" s="193">
        <f>SUM(S227:S248)+SUMIF(COMPLEMENTOS!$D$7:$D$56,S$5,COMPLEMENTOS!$E$7:$E$56)</f>
        <v/>
      </c>
      <c r="T250" s="193">
        <f>SUM(T227:T248)+SUMIF(COMPLEMENTOS!$D$7:$D$56,T$5,COMPLEMENTOS!$E$7:$E$56)</f>
        <v/>
      </c>
      <c r="U250" s="193">
        <f>SUM(U227:U248)+SUMIF(COMPLEMENTOS!$D$7:$D$56,U$5,COMPLEMENTOS!$E$7:$E$56)</f>
        <v/>
      </c>
    </row>
    <row r="251" ht="15" customHeight="1" s="163">
      <c r="A251" s="191" t="inlineStr">
        <is>
          <t>TOTAL</t>
        </is>
      </c>
      <c r="B251" s="192" t="inlineStr">
        <is>
          <t>DEVOLVIDO PRODUTORES (GALPÃO)</t>
        </is>
      </c>
      <c r="C251" s="193">
        <f>'PROD - Ana C. C. R. Souza'!D6+'PROD - Anderson Mello Quimas'!D6+'PROD - Armando Jose Silva'!D6+'PROD - Arnaldo Silva'!D6+'PROD - Claudeni R. Xavier'!D6+'PROD - Edson Jose Silva'!D6+'PROD - Gabriel Adriano Souza'!D6+'PROD - Gustavo Mello Rodrigues'!D6+'PROD - Joaquim Sergio Lage'!D6+'PROD - Jorge G. P. Diniz'!D6+'PROD - Jose G. S. Mello'!D6+'PROD - Jose Rodrigues Melo'!D6+'PROD - Lucio Mauro Felix Silva'!D6+'PROD - Luiz A. O. Pinto'!D6+'PROD - Marcelo Marcos Delgado'!D6+'PROD - Marcio Azevedo Souza'!D6+'PROD - Marco Antonio Coelho'!D6+'PROD - Marcos Marcelo Delgado'!D6+'PROD - Miguel Fernando Almeida'!D6+'PROD - Nilson Ferreira Silva'!D6+'PROD - Renato Jose Silva'!D6+'PROD - Rodolfo Azevedo Andrade'!D6+SUMIF(COMPLEMENTOS!$D$7:$D$56,C$5,COMPLEMENTOS!$F$7:$F$56)</f>
        <v/>
      </c>
      <c r="D251" s="193">
        <f>'PROD - Ana C. C. R. Souza'!D7+'PROD - Anderson Mello Quimas'!D7+'PROD - Armando Jose Silva'!D7+'PROD - Arnaldo Silva'!D7+'PROD - Claudeni R. Xavier'!D7+'PROD - Edson Jose Silva'!D7+'PROD - Gabriel Adriano Souza'!D7+'PROD - Gustavo Mello Rodrigues'!D7+'PROD - Joaquim Sergio Lage'!D7+'PROD - Jorge G. P. Diniz'!D7+'PROD - Jose G. S. Mello'!D7+'PROD - Jose Rodrigues Melo'!D7+'PROD - Lucio Mauro Felix Silva'!D7+'PROD - Luiz A. O. Pinto'!D7+'PROD - Marcelo Marcos Delgado'!D7+'PROD - Marcio Azevedo Souza'!D7+'PROD - Marco Antonio Coelho'!D7+'PROD - Marcos Marcelo Delgado'!D7+'PROD - Miguel Fernando Almeida'!D7+'PROD - Nilson Ferreira Silva'!D7+'PROD - Renato Jose Silva'!D7+'PROD - Rodolfo Azevedo Andrade'!D7+SUMIF(COMPLEMENTOS!$D$7:$D$56,D$5,COMPLEMENTOS!$F$7:$F$56)</f>
        <v/>
      </c>
      <c r="E251" s="193">
        <f>'PROD - Ana C. C. R. Souza'!D8+'PROD - Anderson Mello Quimas'!D8+'PROD - Armando Jose Silva'!D8+'PROD - Arnaldo Silva'!D8+'PROD - Claudeni R. Xavier'!D8+'PROD - Edson Jose Silva'!D8+'PROD - Gabriel Adriano Souza'!D8+'PROD - Gustavo Mello Rodrigues'!D8+'PROD - Joaquim Sergio Lage'!D8+'PROD - Jorge G. P. Diniz'!D8+'PROD - Jose G. S. Mello'!D8+'PROD - Jose Rodrigues Melo'!D8+'PROD - Lucio Mauro Felix Silva'!D8+'PROD - Luiz A. O. Pinto'!D8+'PROD - Marcelo Marcos Delgado'!D8+'PROD - Marcio Azevedo Souza'!D8+'PROD - Marco Antonio Coelho'!D8+'PROD - Marcos Marcelo Delgado'!D8+'PROD - Miguel Fernando Almeida'!D8+'PROD - Nilson Ferreira Silva'!D8+'PROD - Renato Jose Silva'!D8+'PROD - Rodolfo Azevedo Andrade'!D8+SUMIF(COMPLEMENTOS!$D$7:$D$56,E$5,COMPLEMENTOS!$F$7:$F$56)</f>
        <v/>
      </c>
      <c r="F251" s="193">
        <f>'PROD - Ana C. C. R. Souza'!D9+'PROD - Anderson Mello Quimas'!D9+'PROD - Armando Jose Silva'!D9+'PROD - Arnaldo Silva'!D9+'PROD - Claudeni R. Xavier'!D9+'PROD - Edson Jose Silva'!D9+'PROD - Gabriel Adriano Souza'!D9+'PROD - Gustavo Mello Rodrigues'!D9+'PROD - Joaquim Sergio Lage'!D9+'PROD - Jorge G. P. Diniz'!D9+'PROD - Jose G. S. Mello'!D9+'PROD - Jose Rodrigues Melo'!D9+'PROD - Lucio Mauro Felix Silva'!D9+'PROD - Luiz A. O. Pinto'!D9+'PROD - Marcelo Marcos Delgado'!D9+'PROD - Marcio Azevedo Souza'!D9+'PROD - Marco Antonio Coelho'!D9+'PROD - Marcos Marcelo Delgado'!D9+'PROD - Miguel Fernando Almeida'!D9+'PROD - Nilson Ferreira Silva'!D9+'PROD - Renato Jose Silva'!D9+'PROD - Rodolfo Azevedo Andrade'!D9+SUMIF(COMPLEMENTOS!$D$7:$D$56,F$5,COMPLEMENTOS!$F$7:$F$56)</f>
        <v/>
      </c>
      <c r="G251" s="193">
        <f>'PROD - Ana C. C. R. Souza'!D10+'PROD - Anderson Mello Quimas'!D10+'PROD - Armando Jose Silva'!D10+'PROD - Arnaldo Silva'!D10+'PROD - Claudeni R. Xavier'!D10+'PROD - Edson Jose Silva'!D10+'PROD - Gabriel Adriano Souza'!D10+'PROD - Gustavo Mello Rodrigues'!D10+'PROD - Joaquim Sergio Lage'!D10+'PROD - Jorge G. P. Diniz'!D10+'PROD - Jose G. S. Mello'!D10+'PROD - Jose Rodrigues Melo'!D10+'PROD - Lucio Mauro Felix Silva'!D10+'PROD - Luiz A. O. Pinto'!D10+'PROD - Marcelo Marcos Delgado'!D10+'PROD - Marcio Azevedo Souza'!D10+'PROD - Marco Antonio Coelho'!D10+'PROD - Marcos Marcelo Delgado'!D10+'PROD - Miguel Fernando Almeida'!D10+'PROD - Nilson Ferreira Silva'!D10+'PROD - Renato Jose Silva'!D10+'PROD - Rodolfo Azevedo Andrade'!D10+SUMIF(COMPLEMENTOS!$D$7:$D$56,G$5,COMPLEMENTOS!$F$7:$F$56)</f>
        <v/>
      </c>
      <c r="H251" s="193">
        <f>'PROD - Ana C. C. R. Souza'!D11+'PROD - Anderson Mello Quimas'!D11+'PROD - Armando Jose Silva'!D11+'PROD - Arnaldo Silva'!D11+'PROD - Claudeni R. Xavier'!D11+'PROD - Edson Jose Silva'!D11+'PROD - Gabriel Adriano Souza'!D11+'PROD - Gustavo Mello Rodrigues'!D11+'PROD - Joaquim Sergio Lage'!D11+'PROD - Jorge G. P. Diniz'!D11+'PROD - Jose G. S. Mello'!D11+'PROD - Jose Rodrigues Melo'!D11+'PROD - Lucio Mauro Felix Silva'!D11+'PROD - Luiz A. O. Pinto'!D11+'PROD - Marcelo Marcos Delgado'!D11+'PROD - Marcio Azevedo Souza'!D11+'PROD - Marco Antonio Coelho'!D11+'PROD - Marcos Marcelo Delgado'!D11+'PROD - Miguel Fernando Almeida'!D11+'PROD - Nilson Ferreira Silva'!D11+'PROD - Renato Jose Silva'!D11+'PROD - Rodolfo Azevedo Andrade'!D11+SUMIF(COMPLEMENTOS!$D$7:$D$56,H$5,COMPLEMENTOS!$F$7:$F$56)</f>
        <v/>
      </c>
      <c r="I251" s="193">
        <f>'PROD - Ana C. C. R. Souza'!D12+'PROD - Anderson Mello Quimas'!D12+'PROD - Armando Jose Silva'!D12+'PROD - Arnaldo Silva'!D12+'PROD - Claudeni R. Xavier'!D12+'PROD - Edson Jose Silva'!D12+'PROD - Gabriel Adriano Souza'!D12+'PROD - Gustavo Mello Rodrigues'!D12+'PROD - Joaquim Sergio Lage'!D12+'PROD - Jorge G. P. Diniz'!D12+'PROD - Jose G. S. Mello'!D12+'PROD - Jose Rodrigues Melo'!D12+'PROD - Lucio Mauro Felix Silva'!D12+'PROD - Luiz A. O. Pinto'!D12+'PROD - Marcelo Marcos Delgado'!D12+'PROD - Marcio Azevedo Souza'!D12+'PROD - Marco Antonio Coelho'!D12+'PROD - Marcos Marcelo Delgado'!D12+'PROD - Miguel Fernando Almeida'!D12+'PROD - Nilson Ferreira Silva'!D12+'PROD - Renato Jose Silva'!D12+'PROD - Rodolfo Azevedo Andrade'!D12+SUMIF(COMPLEMENTOS!$D$7:$D$56,I$5,COMPLEMENTOS!$F$7:$F$56)</f>
        <v/>
      </c>
      <c r="J251" s="193">
        <f>'PROD - Ana C. C. R. Souza'!D13+'PROD - Anderson Mello Quimas'!D13+'PROD - Armando Jose Silva'!D13+'PROD - Arnaldo Silva'!D13+'PROD - Claudeni R. Xavier'!D13+'PROD - Edson Jose Silva'!D13+'PROD - Gabriel Adriano Souza'!D13+'PROD - Gustavo Mello Rodrigues'!D13+'PROD - Joaquim Sergio Lage'!D13+'PROD - Jorge G. P. Diniz'!D13+'PROD - Jose G. S. Mello'!D13+'PROD - Jose Rodrigues Melo'!D13+'PROD - Lucio Mauro Felix Silva'!D13+'PROD - Luiz A. O. Pinto'!D13+'PROD - Marcelo Marcos Delgado'!D13+'PROD - Marcio Azevedo Souza'!D13+'PROD - Marco Antonio Coelho'!D13+'PROD - Marcos Marcelo Delgado'!D13+'PROD - Miguel Fernando Almeida'!D13+'PROD - Nilson Ferreira Silva'!D13+'PROD - Renato Jose Silva'!D13+'PROD - Rodolfo Azevedo Andrade'!D13+SUMIF(COMPLEMENTOS!$D$7:$D$56,J$5,COMPLEMENTOS!$F$7:$F$56)</f>
        <v/>
      </c>
      <c r="K251" s="193">
        <f>'PROD - Ana C. C. R. Souza'!D14+'PROD - Anderson Mello Quimas'!D14+'PROD - Armando Jose Silva'!D14+'PROD - Arnaldo Silva'!D14+'PROD - Claudeni R. Xavier'!D14+'PROD - Edson Jose Silva'!D14+'PROD - Gabriel Adriano Souza'!D14+'PROD - Gustavo Mello Rodrigues'!D14+'PROD - Joaquim Sergio Lage'!D14+'PROD - Jorge G. P. Diniz'!D14+'PROD - Jose G. S. Mello'!D14+'PROD - Jose Rodrigues Melo'!D14+'PROD - Lucio Mauro Felix Silva'!D14+'PROD - Luiz A. O. Pinto'!D14+'PROD - Marcelo Marcos Delgado'!D14+'PROD - Marcio Azevedo Souza'!D14+'PROD - Marco Antonio Coelho'!D14+'PROD - Marcos Marcelo Delgado'!D14+'PROD - Miguel Fernando Almeida'!D14+'PROD - Nilson Ferreira Silva'!D14+'PROD - Renato Jose Silva'!D14+'PROD - Rodolfo Azevedo Andrade'!D14+SUMIF(COMPLEMENTOS!$D$7:$D$56,K$5,COMPLEMENTOS!$F$7:$F$56)</f>
        <v/>
      </c>
      <c r="L251" s="193">
        <f>'PROD - Ana C. C. R. Souza'!D15+'PROD - Anderson Mello Quimas'!D15+'PROD - Armando Jose Silva'!D15+'PROD - Arnaldo Silva'!D15+'PROD - Claudeni R. Xavier'!D15+'PROD - Edson Jose Silva'!D15+'PROD - Gabriel Adriano Souza'!D15+'PROD - Gustavo Mello Rodrigues'!D15+'PROD - Joaquim Sergio Lage'!D15+'PROD - Jorge G. P. Diniz'!D15+'PROD - Jose G. S. Mello'!D15+'PROD - Jose Rodrigues Melo'!D15+'PROD - Lucio Mauro Felix Silva'!D15+'PROD - Luiz A. O. Pinto'!D15+'PROD - Marcelo Marcos Delgado'!D15+'PROD - Marcio Azevedo Souza'!D15+'PROD - Marco Antonio Coelho'!D15+'PROD - Marcos Marcelo Delgado'!D15+'PROD - Miguel Fernando Almeida'!D15+'PROD - Nilson Ferreira Silva'!D15+'PROD - Renato Jose Silva'!D15+'PROD - Rodolfo Azevedo Andrade'!D15+SUMIF(COMPLEMENTOS!$D$7:$D$56,L$5,COMPLEMENTOS!$F$7:$F$56)</f>
        <v/>
      </c>
      <c r="M251" s="193">
        <f>'PROD - Ana C. C. R. Souza'!D16+'PROD - Anderson Mello Quimas'!D16+'PROD - Armando Jose Silva'!D16+'PROD - Arnaldo Silva'!D16+'PROD - Claudeni R. Xavier'!D16+'PROD - Edson Jose Silva'!D16+'PROD - Gabriel Adriano Souza'!D16+'PROD - Gustavo Mello Rodrigues'!D16+'PROD - Joaquim Sergio Lage'!D16+'PROD - Jorge G. P. Diniz'!D16+'PROD - Jose G. S. Mello'!D16+'PROD - Jose Rodrigues Melo'!D16+'PROD - Lucio Mauro Felix Silva'!D16+'PROD - Luiz A. O. Pinto'!D16+'PROD - Marcelo Marcos Delgado'!D16+'PROD - Marcio Azevedo Souza'!D16+'PROD - Marco Antonio Coelho'!D16+'PROD - Marcos Marcelo Delgado'!D16+'PROD - Miguel Fernando Almeida'!D16+'PROD - Nilson Ferreira Silva'!D16+'PROD - Renato Jose Silva'!D16+'PROD - Rodolfo Azevedo Andrade'!D16+SUMIF(COMPLEMENTOS!$D$7:$D$56,M$5,COMPLEMENTOS!$F$7:$F$56)</f>
        <v/>
      </c>
      <c r="N251" s="193">
        <f>'PROD - Ana C. C. R. Souza'!D17+'PROD - Anderson Mello Quimas'!D17+'PROD - Armando Jose Silva'!D17+'PROD - Arnaldo Silva'!D17+'PROD - Claudeni R. Xavier'!D17+'PROD - Edson Jose Silva'!D17+'PROD - Gabriel Adriano Souza'!D17+'PROD - Gustavo Mello Rodrigues'!D17+'PROD - Joaquim Sergio Lage'!D17+'PROD - Jorge G. P. Diniz'!D17+'PROD - Jose G. S. Mello'!D17+'PROD - Jose Rodrigues Melo'!D17+'PROD - Lucio Mauro Felix Silva'!D17+'PROD - Luiz A. O. Pinto'!D17+'PROD - Marcelo Marcos Delgado'!D17+'PROD - Marcio Azevedo Souza'!D17+'PROD - Marco Antonio Coelho'!D17+'PROD - Marcos Marcelo Delgado'!D17+'PROD - Miguel Fernando Almeida'!D17+'PROD - Nilson Ferreira Silva'!D17+'PROD - Renato Jose Silva'!D17+'PROD - Rodolfo Azevedo Andrade'!D17+SUMIF(COMPLEMENTOS!$D$7:$D$56,N$5,COMPLEMENTOS!$F$7:$F$56)</f>
        <v/>
      </c>
      <c r="O251" s="193">
        <f>'PROD - Ana C. C. R. Souza'!D18+'PROD - Anderson Mello Quimas'!D18+'PROD - Armando Jose Silva'!D18+'PROD - Arnaldo Silva'!D18+'PROD - Claudeni R. Xavier'!D18+'PROD - Edson Jose Silva'!D18+'PROD - Gabriel Adriano Souza'!D18+'PROD - Gustavo Mello Rodrigues'!D18+'PROD - Joaquim Sergio Lage'!D18+'PROD - Jorge G. P. Diniz'!D18+'PROD - Jose G. S. Mello'!D18+'PROD - Jose Rodrigues Melo'!D18+'PROD - Lucio Mauro Felix Silva'!D18+'PROD - Luiz A. O. Pinto'!D18+'PROD - Marcelo Marcos Delgado'!D18+'PROD - Marcio Azevedo Souza'!D18+'PROD - Marco Antonio Coelho'!D18+'PROD - Marcos Marcelo Delgado'!D18+'PROD - Miguel Fernando Almeida'!D18+'PROD - Nilson Ferreira Silva'!D18+'PROD - Renato Jose Silva'!D18+'PROD - Rodolfo Azevedo Andrade'!D18+SUMIF(COMPLEMENTOS!$D$7:$D$56,O$5,COMPLEMENTOS!$F$7:$F$56)</f>
        <v/>
      </c>
      <c r="P251" s="193">
        <f>'PROD - Ana C. C. R. Souza'!D19+'PROD - Anderson Mello Quimas'!D19+'PROD - Armando Jose Silva'!D19+'PROD - Arnaldo Silva'!D19+'PROD - Claudeni R. Xavier'!D19+'PROD - Edson Jose Silva'!D19+'PROD - Gabriel Adriano Souza'!D19+'PROD - Gustavo Mello Rodrigues'!D19+'PROD - Joaquim Sergio Lage'!D19+'PROD - Jorge G. P. Diniz'!D19+'PROD - Jose G. S. Mello'!D19+'PROD - Jose Rodrigues Melo'!D19+'PROD - Lucio Mauro Felix Silva'!D19+'PROD - Luiz A. O. Pinto'!D19+'PROD - Marcelo Marcos Delgado'!D19+'PROD - Marcio Azevedo Souza'!D19+'PROD - Marco Antonio Coelho'!D19+'PROD - Marcos Marcelo Delgado'!D19+'PROD - Miguel Fernando Almeida'!D19+'PROD - Nilson Ferreira Silva'!D19+'PROD - Renato Jose Silva'!D19+'PROD - Rodolfo Azevedo Andrade'!D19+SUMIF(COMPLEMENTOS!$D$7:$D$56,P$5,COMPLEMENTOS!$F$7:$F$56)</f>
        <v/>
      </c>
      <c r="Q251" s="193">
        <f>'PROD - Ana C. C. R. Souza'!D20+'PROD - Anderson Mello Quimas'!D20+'PROD - Armando Jose Silva'!D20+'PROD - Arnaldo Silva'!D20+'PROD - Claudeni R. Xavier'!D20+'PROD - Edson Jose Silva'!D20+'PROD - Gabriel Adriano Souza'!D20+'PROD - Gustavo Mello Rodrigues'!D20+'PROD - Joaquim Sergio Lage'!D20+'PROD - Jorge G. P. Diniz'!D20+'PROD - Jose G. S. Mello'!D20+'PROD - Jose Rodrigues Melo'!D20+'PROD - Lucio Mauro Felix Silva'!D20+'PROD - Luiz A. O. Pinto'!D20+'PROD - Marcelo Marcos Delgado'!D20+'PROD - Marcio Azevedo Souza'!D20+'PROD - Marco Antonio Coelho'!D20+'PROD - Marcos Marcelo Delgado'!D20+'PROD - Miguel Fernando Almeida'!D20+'PROD - Nilson Ferreira Silva'!D20+'PROD - Renato Jose Silva'!D20+'PROD - Rodolfo Azevedo Andrade'!D20+SUMIF(COMPLEMENTOS!$D$7:$D$56,Q$5,COMPLEMENTOS!$F$7:$F$56)</f>
        <v/>
      </c>
      <c r="R251" s="193">
        <f>'PROD - Ana C. C. R. Souza'!D21+'PROD - Anderson Mello Quimas'!D21+'PROD - Armando Jose Silva'!D21+'PROD - Arnaldo Silva'!D21+'PROD - Claudeni R. Xavier'!D21+'PROD - Edson Jose Silva'!D21+'PROD - Gabriel Adriano Souza'!D21+'PROD - Gustavo Mello Rodrigues'!D21+'PROD - Joaquim Sergio Lage'!D21+'PROD - Jorge G. P. Diniz'!D21+'PROD - Jose G. S. Mello'!D21+'PROD - Jose Rodrigues Melo'!D21+'PROD - Lucio Mauro Felix Silva'!D21+'PROD - Luiz A. O. Pinto'!D21+'PROD - Marcelo Marcos Delgado'!D21+'PROD - Marcio Azevedo Souza'!D21+'PROD - Marco Antonio Coelho'!D21+'PROD - Marcos Marcelo Delgado'!D21+'PROD - Miguel Fernando Almeida'!D21+'PROD - Nilson Ferreira Silva'!D21+'PROD - Renato Jose Silva'!D21+'PROD - Rodolfo Azevedo Andrade'!D21+SUMIF(COMPLEMENTOS!$D$7:$D$56,R$5,COMPLEMENTOS!$F$7:$F$56)</f>
        <v/>
      </c>
      <c r="S251" s="193">
        <f>'PROD - Ana C. C. R. Souza'!D22+'PROD - Anderson Mello Quimas'!D22+'PROD - Armando Jose Silva'!D22+'PROD - Arnaldo Silva'!D22+'PROD - Claudeni R. Xavier'!D22+'PROD - Edson Jose Silva'!D22+'PROD - Gabriel Adriano Souza'!D22+'PROD - Gustavo Mello Rodrigues'!D22+'PROD - Joaquim Sergio Lage'!D22+'PROD - Jorge G. P. Diniz'!D22+'PROD - Jose G. S. Mello'!D22+'PROD - Jose Rodrigues Melo'!D22+'PROD - Lucio Mauro Felix Silva'!D22+'PROD - Luiz A. O. Pinto'!D22+'PROD - Marcelo Marcos Delgado'!D22+'PROD - Marcio Azevedo Souza'!D22+'PROD - Marco Antonio Coelho'!D22+'PROD - Marcos Marcelo Delgado'!D22+'PROD - Miguel Fernando Almeida'!D22+'PROD - Nilson Ferreira Silva'!D22+'PROD - Renato Jose Silva'!D22+'PROD - Rodolfo Azevedo Andrade'!D22+SUMIF(COMPLEMENTOS!$D$7:$D$56,S$5,COMPLEMENTOS!$F$7:$F$56)</f>
        <v/>
      </c>
      <c r="T251" s="193">
        <f>'PROD - Ana C. C. R. Souza'!D23+'PROD - Anderson Mello Quimas'!D23+'PROD - Armando Jose Silva'!D23+'PROD - Arnaldo Silva'!D23+'PROD - Claudeni R. Xavier'!D23+'PROD - Edson Jose Silva'!D23+'PROD - Gabriel Adriano Souza'!D23+'PROD - Gustavo Mello Rodrigues'!D23+'PROD - Joaquim Sergio Lage'!D23+'PROD - Jorge G. P. Diniz'!D23+'PROD - Jose G. S. Mello'!D23+'PROD - Jose Rodrigues Melo'!D23+'PROD - Lucio Mauro Felix Silva'!D23+'PROD - Luiz A. O. Pinto'!D23+'PROD - Marcelo Marcos Delgado'!D23+'PROD - Marcio Azevedo Souza'!D23+'PROD - Marco Antonio Coelho'!D23+'PROD - Marcos Marcelo Delgado'!D23+'PROD - Miguel Fernando Almeida'!D23+'PROD - Nilson Ferreira Silva'!D23+'PROD - Renato Jose Silva'!D23+'PROD - Rodolfo Azevedo Andrade'!D23+SUMIF(COMPLEMENTOS!$D$7:$D$56,T$5,COMPLEMENTOS!$F$7:$F$56)</f>
        <v/>
      </c>
      <c r="U251" s="193">
        <f>'PROD - Ana C. C. R. Souza'!D24+'PROD - Anderson Mello Quimas'!D24+'PROD - Armando Jose Silva'!D24+'PROD - Arnaldo Silva'!D24+'PROD - Claudeni R. Xavier'!D24+'PROD - Edson Jose Silva'!D24+'PROD - Gabriel Adriano Souza'!D24+'PROD - Gustavo Mello Rodrigues'!D24+'PROD - Joaquim Sergio Lage'!D24+'PROD - Jorge G. P. Diniz'!D24+'PROD - Jose G. S. Mello'!D24+'PROD - Jose Rodrigues Melo'!D24+'PROD - Lucio Mauro Felix Silva'!D24+'PROD - Luiz A. O. Pinto'!D24+'PROD - Marcelo Marcos Delgado'!D24+'PROD - Marcio Azevedo Souza'!D24+'PROD - Marco Antonio Coelho'!D24+'PROD - Marcos Marcelo Delgado'!D24+'PROD - Miguel Fernando Almeida'!D24+'PROD - Nilson Ferreira Silva'!D24+'PROD - Renato Jose Silva'!D24+'PROD - Rodolfo Azevedo Andrade'!D24+SUMIF(COMPLEMENTOS!$D$7:$D$56,U$5,COMPLEMENTOS!$F$7:$F$56)</f>
        <v/>
      </c>
    </row>
    <row r="252" ht="15" customHeight="1" s="163">
      <c r="A252" s="191" t="inlineStr">
        <is>
          <t>TOTAL ACEITO NO GALPÃO (produtores + complementos)</t>
        </is>
      </c>
      <c r="B252" s="192" t="inlineStr">
        <is>
          <t>ENTREGUE LÍQUIDO PRODUTORES</t>
        </is>
      </c>
      <c r="C252" s="193">
        <f>C250-C251</f>
        <v/>
      </c>
      <c r="D252" s="193">
        <f>D250-D251</f>
        <v/>
      </c>
      <c r="E252" s="193">
        <f>E250-E251</f>
        <v/>
      </c>
      <c r="F252" s="193">
        <f>F250-F251</f>
        <v/>
      </c>
      <c r="G252" s="193">
        <f>G250-G251</f>
        <v/>
      </c>
      <c r="H252" s="193">
        <f>H250-H251</f>
        <v/>
      </c>
      <c r="I252" s="193">
        <f>I250-I251</f>
        <v/>
      </c>
      <c r="J252" s="193">
        <f>J250-J251</f>
        <v/>
      </c>
      <c r="K252" s="193">
        <f>K250-K251</f>
        <v/>
      </c>
      <c r="L252" s="193">
        <f>L250-L251</f>
        <v/>
      </c>
      <c r="M252" s="193">
        <f>M250-M251</f>
        <v/>
      </c>
      <c r="N252" s="193">
        <f>N250-N251</f>
        <v/>
      </c>
      <c r="O252" s="193">
        <f>O250-O251</f>
        <v/>
      </c>
      <c r="P252" s="193">
        <f>P250-P251</f>
        <v/>
      </c>
      <c r="Q252" s="193">
        <f>Q250-Q251</f>
        <v/>
      </c>
      <c r="R252" s="193">
        <f>R250-R251</f>
        <v/>
      </c>
      <c r="S252" s="193">
        <f>S250-S251</f>
        <v/>
      </c>
      <c r="T252" s="193">
        <f>T250-T251</f>
        <v/>
      </c>
      <c r="U252" s="193">
        <f>U250-U251</f>
        <v/>
      </c>
    </row>
    <row r="253" ht="15" customHeight="1" s="163">
      <c r="A253" s="191" t="inlineStr">
        <is>
          <t>TOTAL</t>
        </is>
      </c>
      <c r="B253" s="192" t="inlineStr">
        <is>
          <t>DIFERENÇA (LÍQUIDO - PEDIDO ESCOLAS)</t>
        </is>
      </c>
      <c r="C253" s="193">
        <f>C252-C197</f>
        <v/>
      </c>
      <c r="D253" s="193">
        <f>D252-D197</f>
        <v/>
      </c>
      <c r="E253" s="193">
        <f>E252-E197</f>
        <v/>
      </c>
      <c r="F253" s="193">
        <f>F252-F197</f>
        <v/>
      </c>
      <c r="G253" s="193">
        <f>G252-G197</f>
        <v/>
      </c>
      <c r="H253" s="193">
        <f>H252-H197</f>
        <v/>
      </c>
      <c r="I253" s="193">
        <f>I252-I197</f>
        <v/>
      </c>
      <c r="J253" s="193">
        <f>J252-J197</f>
        <v/>
      </c>
      <c r="K253" s="193">
        <f>K252-K197</f>
        <v/>
      </c>
      <c r="L253" s="193">
        <f>L252-L197</f>
        <v/>
      </c>
      <c r="M253" s="193">
        <f>M252-M197</f>
        <v/>
      </c>
      <c r="N253" s="193">
        <f>N252-N197</f>
        <v/>
      </c>
      <c r="O253" s="193">
        <f>O252-O197</f>
        <v/>
      </c>
      <c r="P253" s="193">
        <f>P252-P197</f>
        <v/>
      </c>
      <c r="Q253" s="193">
        <f>Q252-Q197</f>
        <v/>
      </c>
      <c r="R253" s="193">
        <f>R252-R197</f>
        <v/>
      </c>
      <c r="S253" s="193">
        <f>S252-S197</f>
        <v/>
      </c>
      <c r="T253" s="193">
        <f>T252-T197</f>
        <v/>
      </c>
      <c r="U253" s="193">
        <f>U252-U197</f>
        <v/>
      </c>
    </row>
    <row r="254" ht="15" customHeight="1" s="163">
      <c r="A254" s="195" t="n"/>
      <c r="B254" s="195" t="n"/>
      <c r="C254" s="196" t="n"/>
    </row>
    <row r="255" ht="15" customHeight="1" s="163">
      <c r="A255" s="195" t="n"/>
      <c r="B255" s="195" t="n"/>
      <c r="C255" s="196" t="n"/>
    </row>
    <row r="256" ht="15" customHeight="1" s="163">
      <c r="A256" s="195" t="n"/>
      <c r="B256" s="195" t="n"/>
      <c r="C256" s="196" t="n"/>
    </row>
    <row r="257" ht="15" customHeight="1" s="163">
      <c r="A257" s="195" t="n"/>
      <c r="B257" s="195" t="n"/>
      <c r="C257" s="196" t="n"/>
    </row>
    <row r="258" ht="15" customHeight="1" s="163">
      <c r="A258" s="195" t="n"/>
      <c r="B258" s="195" t="n"/>
      <c r="C258" s="196" t="n"/>
    </row>
    <row r="259" ht="15" customHeight="1" s="163">
      <c r="A259" s="195" t="n"/>
      <c r="B259" s="195" t="n"/>
      <c r="C259" s="196" t="n"/>
    </row>
    <row r="260" ht="15" customHeight="1" s="163">
      <c r="A260" s="195" t="n"/>
      <c r="B260" s="195" t="n"/>
      <c r="C260" s="196" t="n"/>
    </row>
    <row r="261" ht="15" customHeight="1" s="163">
      <c r="A261" s="195" t="n"/>
      <c r="B261" s="195" t="n"/>
      <c r="C261" s="196" t="n"/>
    </row>
    <row r="262" ht="15" customHeight="1" s="163">
      <c r="A262" s="195" t="n"/>
      <c r="B262" s="195" t="n"/>
      <c r="C262" s="196" t="n"/>
    </row>
    <row r="264" ht="15" customHeight="1" s="163">
      <c r="A264" s="191" t="n"/>
      <c r="B264" s="192" t="n"/>
      <c r="C264" s="193" t="n"/>
      <c r="D264" s="193" t="n"/>
      <c r="E264" s="193" t="n"/>
      <c r="F264" s="193" t="n"/>
      <c r="G264" s="193" t="n"/>
      <c r="H264" s="193" t="n"/>
      <c r="I264" s="193" t="n"/>
      <c r="J264" s="193" t="n"/>
      <c r="K264" s="193" t="n"/>
      <c r="L264" s="193" t="n"/>
      <c r="M264" s="193" t="n"/>
      <c r="N264" s="193" t="n"/>
      <c r="O264" s="193" t="n"/>
      <c r="P264" s="193" t="n"/>
      <c r="Q264" s="193" t="n"/>
      <c r="R264" s="193" t="n"/>
      <c r="S264" s="193" t="n"/>
      <c r="T264" s="193" t="n"/>
      <c r="U264" s="193" t="n"/>
    </row>
    <row r="265" ht="15" customHeight="1" s="163">
      <c r="A265" s="191" t="n"/>
      <c r="B265" s="192" t="n"/>
      <c r="C265" s="193" t="n"/>
      <c r="D265" s="193" t="n"/>
      <c r="E265" s="193" t="n"/>
      <c r="F265" s="193" t="n"/>
      <c r="G265" s="193" t="n"/>
      <c r="H265" s="193" t="n"/>
      <c r="I265" s="193" t="n"/>
      <c r="J265" s="193" t="n"/>
      <c r="K265" s="193" t="n"/>
      <c r="L265" s="193" t="n"/>
      <c r="M265" s="193" t="n"/>
      <c r="N265" s="193" t="n"/>
      <c r="O265" s="193" t="n"/>
      <c r="P265" s="193" t="n"/>
      <c r="Q265" s="193" t="n"/>
      <c r="R265" s="193" t="n"/>
      <c r="S265" s="193" t="n"/>
      <c r="T265" s="193" t="n"/>
      <c r="U265" s="193" t="n"/>
    </row>
    <row r="266" ht="15" customHeight="1" s="163">
      <c r="A266" s="191" t="n"/>
      <c r="B266" s="192" t="n"/>
      <c r="C266" s="193" t="n"/>
      <c r="D266" s="193" t="n"/>
      <c r="E266" s="193" t="n"/>
      <c r="F266" s="193" t="n"/>
      <c r="G266" s="193" t="n"/>
      <c r="H266" s="193" t="n"/>
      <c r="I266" s="193" t="n"/>
      <c r="J266" s="193" t="n"/>
      <c r="K266" s="193" t="n"/>
      <c r="L266" s="193" t="n"/>
      <c r="M266" s="193" t="n"/>
      <c r="N266" s="193" t="n"/>
      <c r="O266" s="193" t="n"/>
      <c r="P266" s="193" t="n"/>
      <c r="Q266" s="193" t="n"/>
      <c r="R266" s="193" t="n"/>
      <c r="S266" s="193" t="n"/>
      <c r="T266" s="193" t="n"/>
      <c r="U266" s="193" t="n"/>
    </row>
    <row r="267" ht="15" customHeight="1" s="163">
      <c r="A267" s="191" t="n"/>
      <c r="B267" s="192" t="n"/>
      <c r="C267" s="193" t="n"/>
      <c r="D267" s="193" t="n"/>
      <c r="E267" s="193" t="n"/>
      <c r="F267" s="193" t="n"/>
      <c r="G267" s="193" t="n"/>
      <c r="H267" s="193" t="n"/>
      <c r="I267" s="193" t="n"/>
      <c r="J267" s="193" t="n"/>
      <c r="K267" s="193" t="n"/>
      <c r="L267" s="193" t="n"/>
      <c r="M267" s="193" t="n"/>
      <c r="N267" s="193" t="n"/>
      <c r="O267" s="193" t="n"/>
      <c r="P267" s="193" t="n"/>
      <c r="Q267" s="193" t="n"/>
      <c r="R267" s="193" t="n"/>
      <c r="S267" s="193" t="n"/>
      <c r="T267" s="193" t="n"/>
      <c r="U267" s="193" t="n"/>
    </row>
  </sheetData>
  <sheetProtection selectLockedCells="0" selectUnlockedCells="0" sheet="1" objects="0" insertRows="1" insertHyperlinks="1" autoFilter="1" scenarios="0" formatColumns="0" deleteColumns="1" insertColumns="1" pivotTables="1" deleteRows="1" formatCells="0" formatRows="0" sort="0"/>
  <mergeCells count="3">
    <mergeCell ref="A199:B199"/>
    <mergeCell ref="A4:U4"/>
    <mergeCell ref="A225:B225"/>
  </mergeCells>
  <conditionalFormatting sqref="C227:U248">
    <cfRule type="expression" rank="0" priority="2" equalAverage="0" aboveAverage="0" dxfId="0" text="" percent="0" bottom="0">
      <formula>AND(C201&gt;0,C227="")</formula>
    </cfRule>
  </conditionalFormatting>
  <conditionalFormatting sqref="B227:B248">
    <cfRule type="expression" rank="0" priority="3" equalAverage="0" aboveAverage="0" dxfId="1" text="" percent="0" bottom="0">
      <formula>SUMPRODUCT((C201:U201&gt;0)*(C227:U227=""))&gt;0</formula>
    </cfRule>
  </conditionalFormatting>
  <dataValidations count="2">
    <dataValidation sqref="C6:U196" showDropDown="0" showInputMessage="0" showErrorMessage="1" allowBlank="1" errorTitle="Valor inválido" error="Digite um número (kg/dz), não texto. Não pode ser negativo." type="decimal" errorStyle="stop" operator="greaterThanOrEqual">
      <formula1>0</formula1>
    </dataValidation>
    <dataValidation sqref="C201:U222" showDropDown="0" showInputMessage="0" showErrorMessage="1" allowBlank="1" errorTitle="Valor inválido" error="Digite um número (kg/dz), não texto. Não pode ser negativo." type="decimal" errorStyle="stop" operator="greaterThanOrEqual">
      <formula1>0</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rowBreaks count="2" manualBreakCount="2">
    <brk id="197" min="0" max="16383" man="1"/>
    <brk id="224" min="0" max="16383" man="1"/>
  </rowBreaks>
</worksheet>
</file>

<file path=xl/worksheets/sheet3.xml><?xml version="1.0" encoding="utf-8"?>
<worksheet xmlns="http://schemas.openxmlformats.org/spreadsheetml/2006/main">
  <sheetPr filterMode="0">
    <outlinePr summaryBelow="1" summaryRight="1"/>
    <pageSetUpPr fitToPage="0"/>
  </sheetPr>
  <dimension ref="A1:H112"/>
  <sheetViews>
    <sheetView showFormulas="0" showGridLines="0" showRowColHeaders="1" showZeros="1" rightToLeft="0" tabSelected="0" showOutlineSymbols="1" defaultGridColor="1" view="normal" topLeftCell="A22" colorId="64" zoomScale="100" zoomScaleNormal="100" zoomScalePageLayoutView="100" workbookViewId="0">
      <selection pane="topLeft" activeCell="J32" activeCellId="0" sqref="J32"/>
    </sheetView>
  </sheetViews>
  <sheetFormatPr baseColWidth="8" defaultColWidth="8.6796875" defaultRowHeight="15" zeroHeight="0" outlineLevelRow="0"/>
  <cols>
    <col width="32" customWidth="1" style="162" min="1" max="1"/>
    <col width="18" customWidth="1" style="162" min="2" max="2"/>
    <col width="16" customWidth="1" style="162" min="3" max="4"/>
    <col width="20" customWidth="1" style="162" min="5" max="6"/>
  </cols>
  <sheetData>
    <row r="1" ht="30" customHeight="1" s="163">
      <c r="A1" s="203" t="inlineStr">
        <is>
          <t>RESUMO GERAL</t>
        </is>
      </c>
      <c r="H1" s="204">
        <f>HYPERLINK("#'ÍNDICE'!A1","◄ Voltar ao Índice")</f>
        <v/>
      </c>
    </row>
    <row r="3" ht="24" customHeight="1" s="163">
      <c r="A3" s="205" t="inlineStr">
        <is>
          <t>🏫  ESCOLAS  —  PEDIDO  ×  DEVOLUÇÃO  ×  VALOR A COBRAR DA PREFEITURA</t>
        </is>
      </c>
    </row>
    <row r="4" ht="18" customHeight="1" s="163">
      <c r="A4" s="187" t="inlineStr">
        <is>
          <t>PRODUTO</t>
        </is>
      </c>
      <c r="B4" s="187" t="inlineStr">
        <is>
          <t>PEDIDO (kg)</t>
        </is>
      </c>
      <c r="C4" s="187" t="inlineStr">
        <is>
          <t>REJEITADO NA ESCOLA (kg)</t>
        </is>
      </c>
      <c r="D4" s="187" t="inlineStr">
        <is>
          <t>ACEITO (kg)</t>
        </is>
      </c>
      <c r="E4" s="187" t="inlineStr">
        <is>
          <t>VALOR (R$/kg)</t>
        </is>
      </c>
      <c r="F4" s="187" t="inlineStr">
        <is>
          <t>VALOR A COBRAR (R$)</t>
        </is>
      </c>
    </row>
    <row r="5" ht="15" customHeight="1" s="163">
      <c r="A5" s="195">
        <f>'Entrada de Dados'!C5</f>
        <v/>
      </c>
      <c r="B5" s="206">
        <f>'Entrada de Dados'!C197</f>
        <v/>
      </c>
      <c r="C5" s="206">
        <f>'E M ROTARY'!D9+'E M DE EDUCAÇÃO ESPECIAL SANTOS'!D9+'LICEU MUN PREFEITO CORDOLINO AM'!D9+'E M PREFEITO JAMIL SABRÁ'!D9+'LICEU MUNICIPAL CARLOS CHAGAS F'!D9+'E M PAULO FREIRE'!D9+'E M PROFª MARIA CAMPOS DA SILVA'!D9+'CASA DA EDUCAÇÃO VISCONDE DE MA'!D9+'CENTRO DE REFERÊNCIA EM EDUCAÇÃ'!D9+'ESCOLA SANTA LUIZA DE MARILLAC'!D9+'ESCOLA DOMÉSTICA NOSSA SENHORA '!D9+'ESCOLA MONSENHOR GENTIL'!D9+'ESCOLA PAROQUIAL NOSSA SENHORA '!D9+'ESCOLA PAROQUIAL SÃO PEDRO DE A'!D9+'CEI TERRA SANTA'!D9+'CEI PRIMEIRA INFÂNCIA'!D9+'CEI PROFª PATRÍCIA FERREIRA E S'!D9+'CEI DRA ZILDA ARNS NEUMANN'!D9+'CENTRO DE EDUCAÇÃO INFANTIL PRO'!D9+'CEI MONSENHOR PAULO ELIAS DAHER'!D9+'COLÉGIO GUNNAR VINGREN DE PETRÓ'!D9+'EDUCANDÁRIO TERRA SANTA'!D9+'CEI LIONS CLUBE DE PETRÓPOLIS'!D9+'ESCOLA PAROQUIAL NOSSA SENHO 2'!D9+'CENTRO DE EDUCAÇÃO INFANTIL IRM'!D9+'E M LUIZ CARLOS SOARES'!D9+'ESCOLA GERMANO VALENTE'!D9+'ESCOLA PAROQUIAL NOSSA SENHO 3'!D9+'CEI JORGE ROLANDO DA SILVA'!D9+'E M CLEMENTE FERNANDES'!D9+'E M GERALDO VENTURA DIAS'!D9+'ESCOLA DAS COMUNIDADES SANTO AN'!D9+'CEI PROFª ROSANGELA DA SILVA LE'!D9+'CEI DEISE ELOY GOMES'!D9+'CEI PROFª SONIA REGINA SCUDESE '!D9+'CEI TIA ALICE'!D9+'E M BATAILLARD'!D9+'E M SOROPTIMISTA'!D9+'E M SALVADOR KLING'!D9+'ESCOLA MUNICIPALIZADA FREI ANIC'!D9+'ESCOLA SÃO JUDAS TADEU'!D9+'CEI PEDRAS BRANCAS'!D9+'CEI MARIA THEREZA KLING DO VALL'!D9+'CEI DONA ESPERANZA DE BOURBON D'!D9+'CEI GIUSEPPE-NEVA VOLONTERIO'!D9+'CENTRO DE EDUCAÇÃO INFANTIL SÃO'!D9+'E M LEONARDO BOFF'!D9+'ESCOLA MUNICIPAL GENERAL HEITOR'!D9+'E M JOHANN NOEL'!D9+'ESCOLA SANTA MARIA GORETTI'!D9+'ESCOLA SANTA RITA DE CASSIA'!D9+'ESCOLA SÃO JOÃO BATISTA'!D9+'CEI CASA DA SOLIDARIEDADE DE NO'!D9+'CEI A SEMENTEIRA'!D9+'CEI VILA SAO JOSE'!D9+'E M DR RUBENS DE CASTRO BOMTEMP'!D9+'CEI FREI LEÃO'!D9+'CEI SÃO JOÃO BATISTA'!D9+'CEI JURACI PINTO DO AMARAL DE C'!D9+'E M PEDRO AMADO'!D9+'E M ABELARDO DE LAMARE'!D9+'ESCOLA MUNICIPAL SENADOR MARIO '!D9+'ESCOLA PAROQUIAL SÃO PIO X'!D9+'CEI SÃO CHARBEL'!D9+'E M ROSALINA NICOLAY'!D9+'CEI INÊS BELARMINO DE SOUZA'!D9+'E M PROFª MARIA DA GLÓRIA QUEIR'!D9+'CENTRO EDUCACIONAL COMUNIDADE S'!D9+'CEI ROMANO CANAVESE'!D9+'CEI CÉLIA LÔBO PAULO'!D9+'CEI PROFª DORA KILLER'!D9+'CEI ALTO INDEPENDÊNCIA'!D9+'ESCOLA MUNICIPAL ALTO INDEPENDÊ'!D9+'E M PAPA JOÃO PAULO II'!D9+'CEI ANDRÉ REBOUÇAS'!D9+'CEI PROFª HERMÍNIA MATHEUS'!D9+'ESCOLA MUNICIPAL MAJOR JÚLIO FR'!D9+'E M ALMIRANTE TAMANDARÉ'!D9+'ESCOLA PAROQUIAL CARLOS DEMIÁ'!D9+'CENTRO PAROQUIAL DE EDUCAÇÃO IN'!D9+'CEI IRMÃ SILVANA'!D9+'CEI OLÍVIA MACHADO DA COSTA NOG'!D9+'E M GOVERNADOR MARCELLO ALENCAR'!D9+'E M PROFESSOR FLÁVIO MACIEL'!D9+'E M PROFª JANDIRA PEIXOTO BORDI'!D9+'E M STEFAN ZWEIG'!D9+'ESCOLA PAROQUIAL BOM JESUS'!D9+'CEI MARLI SOARES FERREIRA NETTO'!D9+'CENTRO DE EDUCAÇÃO INFANTIL CHI'!D9+'CEI VILA IPANEMA'!D9+'E M ROBERT KENNEDY'!D9+'ESCOLA MUNICIPAL ANA MOHAMMAD'!D9+'ESCOLA SÃO CRISTÓVÃO'!D9+'CEI DÉA LÚCIA CORDEIRO'!D9+'CEI SAGRADA FAMÍLIA'!D9+'CEI SÃO JOSÉ DAS OBLATAS DE NAZ'!D9+'ESCOLA MUNICIPAL JORGE AMADO'!D9+'E M FÁBRICA DO SABER'!D9+'CIEP BRIZOLÃO 474 MAESTRO GUERR'!D9+'CENTRO DE ENSINO PROF DARCY RIB'!D9+'CEI ANDRÉ VANZAN'!D9+'CENTRO DE EDUCAÇÃO INFANTIL CAR'!D9+'CEI BOA VISTA'!D9+'ASSOCIAÇÃO DA CRECHE SÃO FRANCI'!D9+'ESCOLA MUNICIPAL PAULO SALDANHA'!D9+'ESCOLA MUNICIPAL LÚCIA DE ALMEI'!D9+'E M DOM MANOEL PEDRO DA CUNHA C'!D9+'ESCOLA SÃO GERALDO'!D9+'CEI LULU MONTEIRO DE CASTRO'!D9+'CEI CARANGOLA'!D9+'ASSOCIAÇÃO RECREAR'!D9+'CENTRO DE EDUCAÇÃO INFANTIL CAS'!D9+'E M ROSEMIRA DE OLIVEIRA CAVALC'!D9+'E MZDA CARMEM NUNES MARTINS'!D9+'CEI SÃO JOSÉ DO ITAMARATI'!D9+'E M DUQUE DE CAXIAS'!D9+'CENTRO DE EDUCAÇÃO INFANTIL  2'!D9+'E M ANTÔNIO LEITE GARCIA'!D9+'ESCOLA PAROQUIAL DA ALCOBAÇA'!D9+'CENTRO DE EDUCAÇÃO INFANTIL LOT'!D9+'ESCOLA PAROQUIAL DO LOTEAMENTO '!D9+'E M PROF JOAQUIM DEISTER'!D9+'E M MARIETA GONÇALVES'!D9+'ESCOLA MUNICIPAL ODETTE YOUNG M'!D9+'ESCOLA MUNICIPAL PROFESSOR JOSE'!D9+'E M HERCÍLIA HENRIQUES MORET'!D9+'COLEGIO VICENTINO PADRE CORRÊA'!D9+'CEI PROFª MARLUCE DE SOUZA PEST'!D9+'CEI IRINEU MARINHO'!D9+'CEI DAGMAR ROLANDO DE OLIVEIRA'!D9+'CEI NOSSA SENHORA DA GLÓRIA'!D9+'E M PROF NILTON COSTA PEREIRA D'!D9+'CENTRO DE EDUCAÇÃO INFANTIL SÉR'!D9+'CEI SANTO ANTÔNIO AGOSTINHO'!D9+'CEI OSWALDO CRUZ'!D9+'E M MAGDALENA TAGLIAFERRO'!D9+'ESCOLA SÃO JOSÉ DO CAETITU'!D9+'CRECHE-ESCOLA CASTELO SÃO MANOE'!D9+'CEI THEREZINHA DE JESUS LIMA'!D9+'ESCOLA MUNICIPAL PROFESSOR PAUL'!D9+'COLÉGIO ANGLICANO DE ARARAS'!D9+'ESCOLA PAROQUIAL SANTA BERNADET'!D9+'CEI VISTA ALEGRE'!D9+'CEI DENISE BESSA DE OLIVA MAYA'!D9+'CEI VIDEIRINHA'!D9+'E M AMÉRICO FERNANDES RIBEIRO'!D9+'ESCOLA MUNICIPAL AUGUSTO PUGNAL'!D9+'ESCOLA MUNICIPAL CELINA SCHECHN'!D9+'E M DARCY CORREA DA VEIGA'!D9+'E M DR PAULA BUARQUE'!D9+'LICEU SÃO JOSÉ DE ITAIPAVA'!D9+'CEI LUIZ MARCHIORI'!D9+'CENTRO DE EDUCAÇÃO INFANTIL AUG'!D9+'CEI PROFª ADRIANA CONSTÂNCIO TR'!D9+'E M AMÉLIA ANTUNES RABELLO'!D9+'CEI PREFEITO SÉRGIO FADEL'!D9+'E M DR THEODORO MACHADO'!D9+'ESCOLA SANTO ANTÔNIO'!D9+'E M TAQUARIL'!D9+'E M MONSENHOR JOÃO DE DEUS RODR'!D9+'CENTRO DE REFERÊNCIA EM EDUC 2'!D9+'CEI PROFª GRAÇA COSTA'!D9+'CEI VILA LEOPOLDINA'!D9+'CEI NILO PEÇANHA'!D9+'E MZDA SANTA TEREZINHA'!D9+'CEI CRIANÇA SANTA EDWIGES'!D9+'E M ARNALDO DYCKERHOFF'!D9+'E M CARLOS CANEDO'!D9+'E M BEATRIZ ZALESKI'!D9+'E M ANTÔNIO JOSÉ DE LIMA'!D9+'E M FELIX WAN ERVEN DE BARROS'!D9+'ESCOLA MUNICIPAL HILDEBRANDO DE'!D9+'E M OSWALDO DA COSTA FRIAS'!D9+'E MZDA AVELINO DE CARVALHO'!D9+'ESCOLA MUNICIPALIZADA MOYSÉS FU'!D9+'CEI ANGELA MARIA DA CONCEIÇÃO S'!D9+'CEI JOSÉ GONÇALVES DA MOTTA'!D9+'E M DR BARROS FRANCO'!D9+'E M MAJOR THEÓFILO DE CARVALHO'!D9+'E M JOÃO KOPKE'!D9+'CEI ASSOCIAÇÃO BENEFICENTE FAZE'!D9+'ESCOLA SAO FRANCISCO DE ASSIS'!D9+'CEI SÃO FRANCISCO ASSIS'!D9+'CEI ALDEIA DA CRIANCA'!D9+'ESCOLA MUNICIPAL ODETTE FONSECA'!D9+'CEI ANA CAROLINA TELLES'!D9+'E M SEBASTIÃO LACERDA'!D9+'E M DOM PEDRO DE ALCÂNTARA'!D9+'ESCOLA NOSSA SENHORA DE FÁTIMA'!D9+'ESCOLA PAROQUIAL SÃO FRANCISCO '!D9+'E M MONSENHOR CIRILLO CALAON'!D9</f>
        <v/>
      </c>
      <c r="D5" s="206">
        <f>'E M ABELARDO DE LAMARE'!M9+'E M BATAILLARD'!M9+'E M LEONARDO BOFF'!M9+'E M CLEMENTE FERNANDES'!M9+'E M DOM PEDRO DE ALCÂNTARA'!M9+'E M DUQUE DE CAXIAS'!M9+'E M LUIZ CARLOS SOARES'!M9+'ESCOLA MUNICIPAL GENERAL HEITOR'!M9+'E M JOÃO KOPKE'!M9+'ESCOLA MUNICIPAL ODETTE FONSECA'!M9+'E M GOVERNADOR MARCELLO ALENCAR'!M9+'E M PROF JOAQUIM DEISTER'!M9+'E M ROBERT KENNEDY'!M9+'E M ROTARY'!M9+'E M ROSALINA NICOLAY'!M9+'E M DE EDUCAÇÃO ESPECIAL SANTOS'!M9+'E M SOROPTIMISTA'!M9+'LICEU MUN PREFEITO CORDOLINO AM'!M9+'E M ANTÔNIO LEITE GARCIA'!M9+'ESCOLA MUNICIPAL JORGE AMADO'!M9+'ESCOLA MUNICIPAL LÚCIA DE ALMEI'!M9+'E M MAGDALENA TAGLIAFERRO'!M9+'ESCOLA MUNICIPAL MAJOR JÚLIO FR'!M9+'E M MARIETA GONÇALVES'!M9+'ESCOLA MUNICIPAL ODETTE YOUNG M'!M9+'E M FÁBRICA DO SABER'!M9+'ESCOLA MUNICIPAL PROFESSOR PAUL'!M9+'E M ROSEMIRA DE OLIVEIRA CAVALC'!M9+'E M AMÉLIA ANTUNES RABELLO'!M9+'ESCOLA MUNICIPAL AUGUSTO PUGNAL'!M9+'ESCOLA MUNICIPAL CELINA SCHECHN'!M9+'E M DARCY CORREA DA VEIGA'!M9+'E M DR PAULA BUARQUE'!M9+'E M DR THEODORO MACHADO'!M9+'E M ARNALDO DYCKERHOFF'!M9+'E M CARLOS CANEDO'!M9+'E M DR BARROS FRANCO'!M9+'E M MAJOR THEÓFILO DE CARVALHO'!M9+'E M TAQUARIL'!M9+'E M BEATRIZ ZALESKI'!M9+'E M ANTÔNIO JOSÉ DE LIMA'!M9+'E M FELIX WAN ERVEN DE BARROS'!M9+'ESCOLA MUNICIPAL HILDEBRANDO DE'!M9+'E M OSWALDO DA COSTA FRIAS'!M9+'E MZDA CARMEM NUNES MARTINS'!M9+'E MZDA AVELINO DE CARVALHO'!M9+'E M GERALDO VENTURA DIAS'!M9+'E M SALVADOR KLING'!M9+'E M PREFEITO JAMIL SABRÁ'!M9+'LICEU MUNICIPAL CARLOS CHAGAS F'!M9+'ESCOLA MUNICIPAL ANA MOHAMMAD'!M9+'ESCOLA MUNICIPAL ALTO INDEPENDÊ'!M9+'E M ALMIRANTE TAMANDARÉ'!M9+'ESCOLA MUNICIPALIZADA FREI ANIC'!M9+'E M PEDRO AMADO'!M9+'E M PROFª MARIA DA GLÓRIA QUEIR'!M9+'E M SEBASTIÃO LACERDA'!M9+'E M PROFESSOR FLÁVIO MACIEL'!M9+'ESCOLA MUNICIPAL PAULO SALDANHA'!M9+'ESCOLA MUNICIPAL PROFESSOR JOSE'!M9+'E M MONSENHOR CIRILLO CALAON'!M9+'E M AMÉRICO FERNANDES RIBEIRO'!M9+'E M PROFª JANDIRA PEIXOTO BORDI'!M9+'E M MONSENHOR JOÃO DE DEUS RODR'!M9+'E M DOM MANOEL PEDRO DA CUNHA C'!M9+'E M JOHANN NOEL'!M9+'E MZDA SANTA TEREZINHA'!M9+'E M PAPA JOÃO PAULO II'!M9+'E M STEFAN ZWEIG'!M9+'ESCOLA MUNICIPAL SENADOR MARIO '!M9+'E M DR RUBENS DE CASTRO BOMTEMP'!M9+'E M PAULO FREIRE'!M9+'E M PROFª MARIA CAMPOS DA SILVA'!M9+'E M HERCÍLIA HENRIQUES MORET'!M9+'ESCOLA MUNICIPALIZADA MOYSÉS FU'!M9+'CIEP BRIZOLÃO 474 MAESTRO GUERR'!M9+'CENTRO DE ENSINO PROF DARCY RIB'!M9+'CASA DA EDUCAÇÃO VISCONDE DE MA'!M9+'CENTRO DE REFERÊNCIA EM EDUCAÇÃ'!M9+'E M PROF NILTON COSTA PEREIRA D'!M9+'COLÉGIO GUNNAR VINGREN DE PETRÓ'!M9+'CENTRO DE REFERÊNCIA EM EDUC 2'!M9+'ESCOLA SANTA LUIZA DE MARILLAC'!M9+'CENTRO EDUCACIONAL COMUNIDADE S'!M9+'EDUCANDÁRIO TERRA SANTA'!M9+'ESCOLA GERMANO VALENTE'!M9+'ESCOLA DAS COMUNIDADES SANTO AN'!M9+'ESCOLA DOMÉSTICA NOSSA SENHORA '!M9+'ESCOLA PAROQUIAL NOSSA SENHO 3'!M9+'ESCOLA MONSENHOR GENTIL'!M9+'ESCOLA PAROQUIAL BOM JESUS'!M9+'ESCOLA PAROQUIAL CARLOS DEMIÁ'!M9+'ESCOLA PAROQUIAL NOSSA SENHO 2'!M9+'ESCOLA PAROQUIAL NOSSA SENHORA '!M9+'ESCOLA PAROQUIAL SÃO PEDRO DE A'!M9+'ESCOLA SANTA MARIA GORETTI'!M9+'ESCOLA SANTA RITA DE CASSIA'!M9+'ESCOLA SÃO CRISTÓVÃO'!M9+'ESCOLA PAROQUIAL SÃO FRANCISCO '!M9+'ESCOLA SAO FRANCISCO DE ASSIS'!M9+'ESCOLA SÃO JOÃO BATISTA'!M9+'ESCOLA SÃO JUDAS TADEU'!M9+'ESCOLA PAROQUIAL SÃO PIO X'!M9+'COLÉGIO ANGLICANO DE ARARAS'!M9+'COLEGIO VICENTINO PADRE CORRÊA'!M9+'ESCOLA NOSSA SENHORA DE FÁTIMA'!M9+'ESCOLA PAROQUIAL DA ALCOBAÇA'!M9+'ESCOLA PAROQUIAL DO LOTEAMENTO '!M9+'ESCOLA PAROQUIAL SANTA BERNADET'!M9+'ESCOLA SÃO GERALDO'!M9+'ESCOLA SANTO ANTÔNIO'!M9+'LICEU SÃO JOSÉ DE ITAIPAVA'!M9+'ESCOLA SÃO JOSÉ DO CAETITU'!M9+'CEI ASSOCIAÇÃO BENEFICENTE FAZE'!M9+'CEI CASA DA SOLIDARIEDADE DE NO'!M9+'CEI LULU MONTEIRO DE CASTRO'!M9+'CEI SÃO JOÃO BATISTA'!M9+'CEI SÃO FRANCISCO ASSIS'!M9+'CEI A SEMENTEIRA'!M9+'CEI FREI LEÃO'!M9+'CEI ROMANO CANAVESE'!M9+'CEI ANDRÉ VANZAN'!M9+'CEI CRIANÇA SANTA EDWIGES'!M9+'CENTRO DE EDUCAÇÃO INFANTIL IRM'!M9+'CEI PEDRAS BRANCAS'!M9+'CEI INÊS BELARMINO DE SOUZA'!M9+'CEI PROFª ROSANGELA DA SILVA LE'!M9+'CEI VILA SAO JOSE'!M9+'CEI MARIA THEREZA KLING DO VALL'!M9+'CEI DEISE ELOY GOMES'!M9+'CENTRO PAROQUIAL DE EDUCAÇÃO IN'!M9+'CEI VISTA ALEGRE'!M9+'CEI ALDEIA DA CRIANCA'!M9+'CEI DÉA LÚCIA CORDEIRO'!M9+'CENTRO DE EDUCAÇÃO INFANTIL CAR'!M9+'CEI IRMÃ SILVANA'!M9+'CEI MARLI SOARES FERREIRA NETTO'!M9+'CEI PROFª SONIA REGINA SCUDESE '!M9+'CEI DONA ESPERANZA DE BOURBON D'!M9+'CEI PREFEITO SÉRGIO FADEL'!M9+'CEI ANDRÉ REBOUÇAS'!M9+'CENTRO DE EDUCAÇÃO INFANTIL CHI'!M9+'CEI TIA ALICE'!M9+'CEI TERRA SANTA'!M9+'CEI JORGE ROLANDO DA SILVA'!M9+'CEI CARANGOLA'!M9+'CEI CÉLIA LÔBO PAULO'!M9+'CEI LIONS CLUBE DE PETRÓPOLIS'!M9+'CEI PROFª GRAÇA COSTA'!M9+'CEI ANGELA MARIA DA CONCEIÇÃO S'!M9+'CEI LUIZ MARCHIORI'!M9+'CEI PROFª MARLUCE DE SOUZA PEST'!M9+'CEI OLÍVIA MACHADO DA COSTA NOG'!M9+'CEI VILA IPANEMA'!M9+'CEI VILA LEOPOLDINA'!M9+'CENTRO DE EDUCAÇÃO INFANTIL CAS'!M9+'CEI PRIMEIRA INFÂNCIA'!M9+'CEI PROFª DORA KILLER'!M9+'CEI PROFª PATRÍCIA FERREIRA E S'!M9+'CEI DRA ZILDA ARNS NEUMANN'!M9+'CEI DENISE BESSA DE OLIVA MAYA'!M9+'CEI GIUSEPPE-NEVA VOLONTERIO'!M9+'CENTRO DE EDUCAÇÃO INFANTIL LOT'!M9+'CEI IRINEU MARINHO'!M9+'CEI OSWALDO CRUZ'!M9+'CEI ANA CAROLINA TELLES'!M9+'CEI JOSÉ GONÇALVES DA MOTTA'!M9+'CEI SAGRADA FAMÍLIA'!M9+'CEI PROFª HERMÍNIA MATHEUS'!M9+'CENTRO DE EDUCAÇÃO INFANTIL PRO'!M9+'CEI MONSENHOR PAULO ELIAS DAHER'!M9+'CEI DAGMAR ROLANDO DE OLIVEIRA'!M9+'CENTRO DE EDUCAÇÃO INFANTIL  2'!M9+'CEI BOA VISTA'!M9+'CEI NILO PEÇANHA'!M9+'CENTRO DE EDUCAÇÃO INFANTIL AUG'!M9+'CEI THEREZINHA DE JESUS LIMA'!M9+'CEI VIDEIRINHA'!M9+'CEI PROFª ADRIANA CONSTÂNCIO TR'!M9+'CENTRO DE EDUCAÇÃO INFANTIL SÉR'!M9+'CEI JURACI PINTO DO AMARAL DE C'!M9+'CEI NOSSA SENHORA DA GLÓRIA'!M9+'CEI ALTO INDEPENDÊNCIA'!M9+'CEI SÃO JOSÉ DAS OBLATAS DE NAZ'!M9+'CEI SANTO ANTÔNIO AGOSTINHO'!M9+'CEI SÃO CHARBEL'!M9+'ASSOCIAÇÃO DA CRECHE SÃO FRANCI'!M9+'CEI SÃO JOSÉ DO ITAMARATI'!M9+'ASSOCIAÇÃO RECREAR'!M9+'CRECHE-ESCOLA CASTELO SÃO MANOE'!M9+'CENTRO DE EDUCAÇÃO INFANTIL SÃO'!M9</f>
        <v/>
      </c>
      <c r="E5" s="207">
        <f>'Entrada de Dados'!C2</f>
        <v/>
      </c>
      <c r="F5" s="207">
        <f>D5*E5</f>
        <v/>
      </c>
    </row>
    <row r="6" ht="15" customHeight="1" s="163">
      <c r="A6" s="195">
        <f>'Entrada de Dados'!D5</f>
        <v/>
      </c>
      <c r="B6" s="206">
        <f>'Entrada de Dados'!D197</f>
        <v/>
      </c>
      <c r="C6" s="206">
        <f>'E M ROTARY'!D10+'E M DE EDUCAÇÃO ESPECIAL SANTOS'!D10+'LICEU MUN PREFEITO CORDOLINO AM'!D10+'E M PREFEITO JAMIL SABRÁ'!D10+'LICEU MUNICIPAL CARLOS CHAGAS F'!D10+'E M PAULO FREIRE'!D10+'E M PROFª MARIA CAMPOS DA SILVA'!D10+'CASA DA EDUCAÇÃO VISCONDE DE MA'!D10+'CENTRO DE REFERÊNCIA EM EDUCAÇÃ'!D10+'ESCOLA SANTA LUIZA DE MARILLAC'!D10+'ESCOLA DOMÉSTICA NOSSA SENHORA '!D10+'ESCOLA MONSENHOR GENTIL'!D10+'ESCOLA PAROQUIAL NOSSA SENHORA '!D10+'ESCOLA PAROQUIAL SÃO PEDRO DE A'!D10+'CEI TERRA SANTA'!D10+'CEI PRIMEIRA INFÂNCIA'!D10+'CEI PROFª PATRÍCIA FERREIRA E S'!D10+'CEI DRA ZILDA ARNS NEUMANN'!D10+'CENTRO DE EDUCAÇÃO INFANTIL PRO'!D10+'CEI MONSENHOR PAULO ELIAS DAHER'!D10+'COLÉGIO GUNNAR VINGREN DE PETRÓ'!D10+'EDUCANDÁRIO TERRA SANTA'!D10+'CEI LIONS CLUBE DE PETRÓPOLIS'!D10+'ESCOLA PAROQUIAL NOSSA SENHO 2'!D10+'CENTRO DE EDUCAÇÃO INFANTIL IRM'!D10+'E M LUIZ CARLOS SOARES'!D10+'ESCOLA GERMANO VALENTE'!D10+'ESCOLA PAROQUIAL NOSSA SENHO 3'!D10+'CEI JORGE ROLANDO DA SILVA'!D10+'E M CLEMENTE FERNANDES'!D10+'E M GERALDO VENTURA DIAS'!D10+'ESCOLA DAS COMUNIDADES SANTO AN'!D10+'CEI PROFª ROSANGELA DA SILVA LE'!D10+'CEI DEISE ELOY GOMES'!D10+'CEI PROFª SONIA REGINA SCUDESE '!D10+'CEI TIA ALICE'!D10+'E M BATAILLARD'!D10+'E M SOROPTIMISTA'!D10+'E M SALVADOR KLING'!D10+'ESCOLA MUNICIPALIZADA FREI ANIC'!D10+'ESCOLA SÃO JUDAS TADEU'!D10+'CEI PEDRAS BRANCAS'!D10+'CEI MARIA THEREZA KLING DO VALL'!D10+'CEI DONA ESPERANZA DE BOURBON D'!D10+'CEI GIUSEPPE-NEVA VOLONTERIO'!D10+'CENTRO DE EDUCAÇÃO INFANTIL SÃO'!D10+'E M LEONARDO BOFF'!D10+'ESCOLA MUNICIPAL GENERAL HEITOR'!D10+'E M JOHANN NOEL'!D10+'ESCOLA SANTA MARIA GORETTI'!D10+'ESCOLA SANTA RITA DE CASSIA'!D10+'ESCOLA SÃO JOÃO BATISTA'!D10+'CEI CASA DA SOLIDARIEDADE DE NO'!D10+'CEI A SEMENTEIRA'!D10+'CEI VILA SAO JOSE'!D10+'E M DR RUBENS DE CASTRO BOMTEMP'!D10+'CEI FREI LEÃO'!D10+'CEI SÃO JOÃO BATISTA'!D10+'CEI JURACI PINTO DO AMARAL DE C'!D10+'E M PEDRO AMADO'!D10+'E M ABELARDO DE LAMARE'!D10+'ESCOLA MUNICIPAL SENADOR MARIO '!D10+'ESCOLA PAROQUIAL SÃO PIO X'!D10+'CEI SÃO CHARBEL'!D10+'E M ROSALINA NICOLAY'!D10+'CEI INÊS BELARMINO DE SOUZA'!D10+'E M PROFª MARIA DA GLÓRIA QUEIR'!D10+'CENTRO EDUCACIONAL COMUNIDADE S'!D10+'CEI ROMANO CANAVESE'!D10+'CEI CÉLIA LÔBO PAULO'!D10+'CEI PROFª DORA KILLER'!D10+'CEI ALTO INDEPENDÊNCIA'!D10+'ESCOLA MUNICIPAL ALTO INDEPENDÊ'!D10+'E M PAPA JOÃO PAULO II'!D10+'CEI ANDRÉ REBOUÇAS'!D10+'CEI PROFª HERMÍNIA MATHEUS'!D10+'ESCOLA MUNICIPAL MAJOR JÚLIO FR'!D10+'E M ALMIRANTE TAMANDARÉ'!D10+'ESCOLA PAROQUIAL CARLOS DEMIÁ'!D10+'CENTRO PAROQUIAL DE EDUCAÇÃO IN'!D10+'CEI IRMÃ SILVANA'!D10+'CEI OLÍVIA MACHADO DA COSTA NOG'!D10+'E M GOVERNADOR MARCELLO ALENCAR'!D10+'E M PROFESSOR FLÁVIO MACIEL'!D10+'E M PROFª JANDIRA PEIXOTO BORDI'!D10+'E M STEFAN ZWEIG'!D10+'ESCOLA PAROQUIAL BOM JESUS'!D10+'CEI MARLI SOARES FERREIRA NETTO'!D10+'CENTRO DE EDUCAÇÃO INFANTIL CHI'!D10+'CEI VILA IPANEMA'!D10+'E M ROBERT KENNEDY'!D10+'ESCOLA MUNICIPAL ANA MOHAMMAD'!D10+'ESCOLA SÃO CRISTÓVÃO'!D10+'CEI DÉA LÚCIA CORDEIRO'!D10+'CEI SAGRADA FAMÍLIA'!D10+'CEI SÃO JOSÉ DAS OBLATAS DE NAZ'!D10+'ESCOLA MUNICIPAL JORGE AMADO'!D10+'E M FÁBRICA DO SABER'!D10+'CIEP BRIZOLÃO 474 MAESTRO GUERR'!D10+'CENTRO DE ENSINO PROF DARCY RIB'!D10+'CEI ANDRÉ VANZAN'!D10+'CENTRO DE EDUCAÇÃO INFANTIL CAR'!D10+'CEI BOA VISTA'!D10+'ASSOCIAÇÃO DA CRECHE SÃO FRANCI'!D10+'ESCOLA MUNICIPAL PAULO SALDANHA'!D10+'ESCOLA MUNICIPAL LÚCIA DE ALMEI'!D10+'E M DOM MANOEL PEDRO DA CUNHA C'!D10+'ESCOLA SÃO GERALDO'!D10+'CEI LULU MONTEIRO DE CASTRO'!D10+'CEI CARANGOLA'!D10+'ASSOCIAÇÃO RECREAR'!D10+'CENTRO DE EDUCAÇÃO INFANTIL CAS'!D10+'E M ROSEMIRA DE OLIVEIRA CAVALC'!D10+'E MZDA CARMEM NUNES MARTINS'!D10+'CEI SÃO JOSÉ DO ITAMARATI'!D10+'E M DUQUE DE CAXIAS'!D10+'CENTRO DE EDUCAÇÃO INFANTIL  2'!D10+'E M ANTÔNIO LEITE GARCIA'!D10+'ESCOLA PAROQUIAL DA ALCOBAÇA'!D10+'CENTRO DE EDUCAÇÃO INFANTIL LOT'!D10+'ESCOLA PAROQUIAL DO LOTEAMENTO '!D10+'E M PROF JOAQUIM DEISTER'!D10+'E M MARIETA GONÇALVES'!D10+'ESCOLA MUNICIPAL ODETTE YOUNG M'!D10+'ESCOLA MUNICIPAL PROFESSOR JOSE'!D10+'E M HERCÍLIA HENRIQUES MORET'!D10+'COLEGIO VICENTINO PADRE CORRÊA'!D10+'CEI PROFª MARLUCE DE SOUZA PEST'!D10+'CEI IRINEU MARINHO'!D10+'CEI DAGMAR ROLANDO DE OLIVEIRA'!D10+'CEI NOSSA SENHORA DA GLÓRIA'!D10+'E M PROF NILTON COSTA PEREIRA D'!D10+'CENTRO DE EDUCAÇÃO INFANTIL SÉR'!D10+'CEI SANTO ANTÔNIO AGOSTINHO'!D10+'CEI OSWALDO CRUZ'!D10+'E M MAGDALENA TAGLIAFERRO'!D10+'ESCOLA SÃO JOSÉ DO CAETITU'!D10+'CRECHE-ESCOLA CASTELO SÃO MANOE'!D10+'CEI THEREZINHA DE JESUS LIMA'!D10+'ESCOLA MUNICIPAL PROFESSOR PAUL'!D10+'COLÉGIO ANGLICANO DE ARARAS'!D10+'ESCOLA PAROQUIAL SANTA BERNADET'!D10+'CEI VISTA ALEGRE'!D10+'CEI DENISE BESSA DE OLIVA MAYA'!D10+'CEI VIDEIRINHA'!D10+'E M AMÉRICO FERNANDES RIBEIRO'!D10+'ESCOLA MUNICIPAL AUGUSTO PUGNAL'!D10+'ESCOLA MUNICIPAL CELINA SCHECHN'!D10+'E M DARCY CORREA DA VEIGA'!D10+'E M DR PAULA BUARQUE'!D10+'LICEU SÃO JOSÉ DE ITAIPAVA'!D10+'CEI LUIZ MARCHIORI'!D10+'CENTRO DE EDUCAÇÃO INFANTIL AUG'!D10+'CEI PROFª ADRIANA CONSTÂNCIO TR'!D10+'E M AMÉLIA ANTUNES RABELLO'!D10+'CEI PREFEITO SÉRGIO FADEL'!D10+'E M DR THEODORO MACHADO'!D10+'ESCOLA SANTO ANTÔNIO'!D10+'E M TAQUARIL'!D10+'E M MONSENHOR JOÃO DE DEUS RODR'!D10+'CENTRO DE REFERÊNCIA EM EDUC 2'!D10+'CEI PROFª GRAÇA COSTA'!D10+'CEI VILA LEOPOLDINA'!D10+'CEI NILO PEÇANHA'!D10+'E MZDA SANTA TEREZINHA'!D10+'CEI CRIANÇA SANTA EDWIGES'!D10+'E M ARNALDO DYCKERHOFF'!D10+'E M CARLOS CANEDO'!D10+'E M BEATRIZ ZALESKI'!D10+'E M ANTÔNIO JOSÉ DE LIMA'!D10+'E M FELIX WAN ERVEN DE BARROS'!D10+'ESCOLA MUNICIPAL HILDEBRANDO DE'!D10+'E M OSWALDO DA COSTA FRIAS'!D10+'E MZDA AVELINO DE CARVALHO'!D10+'ESCOLA MUNICIPALIZADA MOYSÉS FU'!D10+'CEI ANGELA MARIA DA CONCEIÇÃO S'!D10+'CEI JOSÉ GONÇALVES DA MOTTA'!D10+'E M DR BARROS FRANCO'!D10+'E M MAJOR THEÓFILO DE CARVALHO'!D10+'E M JOÃO KOPKE'!D10+'CEI ASSOCIAÇÃO BENEFICENTE FAZE'!D10+'ESCOLA SAO FRANCISCO DE ASSIS'!D10+'CEI SÃO FRANCISCO ASSIS'!D10+'CEI ALDEIA DA CRIANCA'!D10+'ESCOLA MUNICIPAL ODETTE FONSECA'!D10+'CEI ANA CAROLINA TELLES'!D10+'E M SEBASTIÃO LACERDA'!D10+'E M DOM PEDRO DE ALCÂNTARA'!D10+'ESCOLA NOSSA SENHORA DE FÁTIMA'!D10+'ESCOLA PAROQUIAL SÃO FRANCISCO '!D10+'E M MONSENHOR CIRILLO CALAON'!D10</f>
        <v/>
      </c>
      <c r="D6" s="206">
        <f>'E M ABELARDO DE LAMARE'!M10+'E M BATAILLARD'!M10+'E M LEONARDO BOFF'!M10+'E M CLEMENTE FERNANDES'!M10+'E M DOM PEDRO DE ALCÂNTARA'!M10+'E M DUQUE DE CAXIAS'!M10+'E M LUIZ CARLOS SOARES'!M10+'ESCOLA MUNICIPAL GENERAL HEITOR'!M10+'E M JOÃO KOPKE'!M10+'ESCOLA MUNICIPAL ODETTE FONSECA'!M10+'E M GOVERNADOR MARCELLO ALENCAR'!M10+'E M PROF JOAQUIM DEISTER'!M10+'E M ROBERT KENNEDY'!M10+'E M ROTARY'!M10+'E M ROSALINA NICOLAY'!M10+'E M DE EDUCAÇÃO ESPECIAL SANTOS'!M10+'E M SOROPTIMISTA'!M10+'LICEU MUN PREFEITO CORDOLINO AM'!M10+'E M ANTÔNIO LEITE GARCIA'!M10+'ESCOLA MUNICIPAL JORGE AMADO'!M10+'ESCOLA MUNICIPAL LÚCIA DE ALMEI'!M10+'E M MAGDALENA TAGLIAFERRO'!M10+'ESCOLA MUNICIPAL MAJOR JÚLIO FR'!M10+'E M MARIETA GONÇALVES'!M10+'ESCOLA MUNICIPAL ODETTE YOUNG M'!M10+'E M FÁBRICA DO SABER'!M10+'ESCOLA MUNICIPAL PROFESSOR PAUL'!M10+'E M ROSEMIRA DE OLIVEIRA CAVALC'!M10+'E M AMÉLIA ANTUNES RABELLO'!M10+'ESCOLA MUNICIPAL AUGUSTO PUGNAL'!M10+'ESCOLA MUNICIPAL CELINA SCHECHN'!M10+'E M DARCY CORREA DA VEIGA'!M10+'E M DR PAULA BUARQUE'!M10+'E M DR THEODORO MACHADO'!M10+'E M ARNALDO DYCKERHOFF'!M10+'E M CARLOS CANEDO'!M10+'E M DR BARROS FRANCO'!M10+'E M MAJOR THEÓFILO DE CARVALHO'!M10+'E M TAQUARIL'!M10+'E M BEATRIZ ZALESKI'!M10+'E M ANTÔNIO JOSÉ DE LIMA'!M10+'E M FELIX WAN ERVEN DE BARROS'!M10+'ESCOLA MUNICIPAL HILDEBRANDO DE'!M10+'E M OSWALDO DA COSTA FRIAS'!M10+'E MZDA CARMEM NUNES MARTINS'!M10+'E MZDA AVELINO DE CARVALHO'!M10+'E M GERALDO VENTURA DIAS'!M10+'E M SALVADOR KLING'!M10+'E M PREFEITO JAMIL SABRÁ'!M10+'LICEU MUNICIPAL CARLOS CHAGAS F'!M10+'ESCOLA MUNICIPAL ANA MOHAMMAD'!M10+'ESCOLA MUNICIPAL ALTO INDEPENDÊ'!M10+'E M ALMIRANTE TAMANDARÉ'!M10+'ESCOLA MUNICIPALIZADA FREI ANIC'!M10+'E M PEDRO AMADO'!M10+'E M PROFª MARIA DA GLÓRIA QUEIR'!M10+'E M SEBASTIÃO LACERDA'!M10+'E M PROFESSOR FLÁVIO MACIEL'!M10+'ESCOLA MUNICIPAL PAULO SALDANHA'!M10+'ESCOLA MUNICIPAL PROFESSOR JOSE'!M10+'E M MONSENHOR CIRILLO CALAON'!M10+'E M AMÉRICO FERNANDES RIBEIRO'!M10+'E M PROFª JANDIRA PEIXOTO BORDI'!M10+'E M MONSENHOR JOÃO DE DEUS RODR'!M10+'E M DOM MANOEL PEDRO DA CUNHA C'!M10+'E M JOHANN NOEL'!M10+'E MZDA SANTA TEREZINHA'!M10+'E M PAPA JOÃO PAULO II'!M10+'E M STEFAN ZWEIG'!M10+'ESCOLA MUNICIPAL SENADOR MARIO '!M10+'E M DR RUBENS DE CASTRO BOMTEMP'!M10+'E M PAULO FREIRE'!M10+'E M PROFª MARIA CAMPOS DA SILVA'!M10+'E M HERCÍLIA HENRIQUES MORET'!M10+'ESCOLA MUNICIPALIZADA MOYSÉS FU'!M10+'CIEP BRIZOLÃO 474 MAESTRO GUERR'!M10+'CENTRO DE ENSINO PROF DARCY RIB'!M10+'CASA DA EDUCAÇÃO VISCONDE DE MA'!M10+'CENTRO DE REFERÊNCIA EM EDUCAÇÃ'!M10+'E M PROF NILTON COSTA PEREIRA D'!M10+'COLÉGIO GUNNAR VINGREN DE PETRÓ'!M10+'CENTRO DE REFERÊNCIA EM EDUC 2'!M10+'ESCOLA SANTA LUIZA DE MARILLAC'!M10+'CENTRO EDUCACIONAL COMUNIDADE S'!M10+'EDUCANDÁRIO TERRA SANTA'!M10+'ESCOLA GERMANO VALENTE'!M10+'ESCOLA DAS COMUNIDADES SANTO AN'!M10+'ESCOLA DOMÉSTICA NOSSA SENHORA '!M10+'ESCOLA PAROQUIAL NOSSA SENHO 3'!M10+'ESCOLA MONSENHOR GENTIL'!M10+'ESCOLA PAROQUIAL BOM JESUS'!M10+'ESCOLA PAROQUIAL CARLOS DEMIÁ'!M10+'ESCOLA PAROQUIAL NOSSA SENHO 2'!M10+'ESCOLA PAROQUIAL NOSSA SENHORA '!M10+'ESCOLA PAROQUIAL SÃO PEDRO DE A'!M10+'ESCOLA SANTA MARIA GORETTI'!M10+'ESCOLA SANTA RITA DE CASSIA'!M10+'ESCOLA SÃO CRISTÓVÃO'!M10+'ESCOLA PAROQUIAL SÃO FRANCISCO '!M10+'ESCOLA SAO FRANCISCO DE ASSIS'!M10+'ESCOLA SÃO JOÃO BATISTA'!M10+'ESCOLA SÃO JUDAS TADEU'!M10+'ESCOLA PAROQUIAL SÃO PIO X'!M10+'COLÉGIO ANGLICANO DE ARARAS'!M10+'COLEGIO VICENTINO PADRE CORRÊA'!M10+'ESCOLA NOSSA SENHORA DE FÁTIMA'!M10+'ESCOLA PAROQUIAL DA ALCOBAÇA'!M10+'ESCOLA PAROQUIAL DO LOTEAMENTO '!M10+'ESCOLA PAROQUIAL SANTA BERNADET'!M10+'ESCOLA SÃO GERALDO'!M10+'ESCOLA SANTO ANTÔNIO'!M10+'LICEU SÃO JOSÉ DE ITAIPAVA'!M10+'ESCOLA SÃO JOSÉ DO CAETITU'!M10+'CEI ASSOCIAÇÃO BENEFICENTE FAZE'!M10+'CEI CASA DA SOLIDARIEDADE DE NO'!M10+'CEI LULU MONTEIRO DE CASTRO'!M10+'CEI SÃO JOÃO BATISTA'!M10+'CEI SÃO FRANCISCO ASSIS'!M10+'CEI A SEMENTEIRA'!M10+'CEI FREI LEÃO'!M10+'CEI ROMANO CANAVESE'!M10+'CEI ANDRÉ VANZAN'!M10+'CEI CRIANÇA SANTA EDWIGES'!M10+'CENTRO DE EDUCAÇÃO INFANTIL IRM'!M10+'CEI PEDRAS BRANCAS'!M10+'CEI INÊS BELARMINO DE SOUZA'!M10+'CEI PROFª ROSANGELA DA SILVA LE'!M10+'CEI VILA SAO JOSE'!M10+'CEI MARIA THEREZA KLING DO VALL'!M10+'CEI DEISE ELOY GOMES'!M10+'CENTRO PAROQUIAL DE EDUCAÇÃO IN'!M10+'CEI VISTA ALEGRE'!M10+'CEI ALDEIA DA CRIANCA'!M10+'CEI DÉA LÚCIA CORDEIRO'!M10+'CENTRO DE EDUCAÇÃO INFANTIL CAR'!M10+'CEI IRMÃ SILVANA'!M10+'CEI MARLI SOARES FERREIRA NETTO'!M10+'CEI PROFª SONIA REGINA SCUDESE '!M10+'CEI DONA ESPERANZA DE BOURBON D'!M10+'CEI PREFEITO SÉRGIO FADEL'!M10+'CEI ANDRÉ REBOUÇAS'!M10+'CENTRO DE EDUCAÇÃO INFANTIL CHI'!M10+'CEI TIA ALICE'!M10+'CEI TERRA SANTA'!M10+'CEI JORGE ROLANDO DA SILVA'!M10+'CEI CARANGOLA'!M10+'CEI CÉLIA LÔBO PAULO'!M10+'CEI LIONS CLUBE DE PETRÓPOLIS'!M10+'CEI PROFª GRAÇA COSTA'!M10+'CEI ANGELA MARIA DA CONCEIÇÃO S'!M10+'CEI LUIZ MARCHIORI'!M10+'CEI PROFª MARLUCE DE SOUZA PEST'!M10+'CEI OLÍVIA MACHADO DA COSTA NOG'!M10+'CEI VILA IPANEMA'!M10+'CEI VILA LEOPOLDINA'!M10+'CENTRO DE EDUCAÇÃO INFANTIL CAS'!M10+'CEI PRIMEIRA INFÂNCIA'!M10+'CEI PROFª DORA KILLER'!M10+'CEI PROFª PATRÍCIA FERREIRA E S'!M10+'CEI DRA ZILDA ARNS NEUMANN'!M10+'CEI DENISE BESSA DE OLIVA MAYA'!M10+'CEI GIUSEPPE-NEVA VOLONTERIO'!M10+'CENTRO DE EDUCAÇÃO INFANTIL LOT'!M10+'CEI IRINEU MARINHO'!M10+'CEI OSWALDO CRUZ'!M10+'CEI ANA CAROLINA TELLES'!M10+'CEI JOSÉ GONÇALVES DA MOTTA'!M10+'CEI SAGRADA FAMÍLIA'!M10+'CEI PROFª HERMÍNIA MATHEUS'!M10+'CENTRO DE EDUCAÇÃO INFANTIL PRO'!M10+'CEI MONSENHOR PAULO ELIAS DAHER'!M10+'CEI DAGMAR ROLANDO DE OLIVEIRA'!M10+'CENTRO DE EDUCAÇÃO INFANTIL  2'!M10+'CEI BOA VISTA'!M10+'CEI NILO PEÇANHA'!M10+'CENTRO DE EDUCAÇÃO INFANTIL AUG'!M10+'CEI THEREZINHA DE JESUS LIMA'!M10+'CEI VIDEIRINHA'!M10+'CEI PROFª ADRIANA CONSTÂNCIO TR'!M10+'CENTRO DE EDUCAÇÃO INFANTIL SÉR'!M10+'CEI JURACI PINTO DO AMARAL DE C'!M10+'CEI NOSSA SENHORA DA GLÓRIA'!M10+'CEI ALTO INDEPENDÊNCIA'!M10+'CEI SÃO JOSÉ DAS OBLATAS DE NAZ'!M10+'CEI SANTO ANTÔNIO AGOSTINHO'!M10+'CEI SÃO CHARBEL'!M10+'ASSOCIAÇÃO DA CRECHE SÃO FRANCI'!M10+'CEI SÃO JOSÉ DO ITAMARATI'!M10+'ASSOCIAÇÃO RECREAR'!M10+'CRECHE-ESCOLA CASTELO SÃO MANOE'!M10+'CENTRO DE EDUCAÇÃO INFANTIL SÃO'!M10</f>
        <v/>
      </c>
      <c r="E6" s="207">
        <f>'Entrada de Dados'!D2</f>
        <v/>
      </c>
      <c r="F6" s="207">
        <f>D6*E6</f>
        <v/>
      </c>
    </row>
    <row r="7" ht="15" customHeight="1" s="163">
      <c r="A7" s="195">
        <f>'Entrada de Dados'!E5</f>
        <v/>
      </c>
      <c r="B7" s="206">
        <f>'Entrada de Dados'!E197</f>
        <v/>
      </c>
      <c r="C7" s="206">
        <f>'E M ROTARY'!D11+'E M DE EDUCAÇÃO ESPECIAL SANTOS'!D11+'LICEU MUN PREFEITO CORDOLINO AM'!D11+'E M PREFEITO JAMIL SABRÁ'!D11+'LICEU MUNICIPAL CARLOS CHAGAS F'!D11+'E M PAULO FREIRE'!D11+'E M PROFª MARIA CAMPOS DA SILVA'!D11+'CASA DA EDUCAÇÃO VISCONDE DE MA'!D11+'CENTRO DE REFERÊNCIA EM EDUCAÇÃ'!D11+'ESCOLA SANTA LUIZA DE MARILLAC'!D11+'ESCOLA DOMÉSTICA NOSSA SENHORA '!D11+'ESCOLA MONSENHOR GENTIL'!D11+'ESCOLA PAROQUIAL NOSSA SENHORA '!D11+'ESCOLA PAROQUIAL SÃO PEDRO DE A'!D11+'CEI TERRA SANTA'!D11+'CEI PRIMEIRA INFÂNCIA'!D11+'CEI PROFª PATRÍCIA FERREIRA E S'!D11+'CEI DRA ZILDA ARNS NEUMANN'!D11+'CENTRO DE EDUCAÇÃO INFANTIL PRO'!D11+'CEI MONSENHOR PAULO ELIAS DAHER'!D11+'COLÉGIO GUNNAR VINGREN DE PETRÓ'!D11+'EDUCANDÁRIO TERRA SANTA'!D11+'CEI LIONS CLUBE DE PETRÓPOLIS'!D11+'ESCOLA PAROQUIAL NOSSA SENHO 2'!D11+'CENTRO DE EDUCAÇÃO INFANTIL IRM'!D11+'E M LUIZ CARLOS SOARES'!D11+'ESCOLA GERMANO VALENTE'!D11+'ESCOLA PAROQUIAL NOSSA SENHO 3'!D11+'CEI JORGE ROLANDO DA SILVA'!D11+'E M CLEMENTE FERNANDES'!D11+'E M GERALDO VENTURA DIAS'!D11+'ESCOLA DAS COMUNIDADES SANTO AN'!D11+'CEI PROFª ROSANGELA DA SILVA LE'!D11+'CEI DEISE ELOY GOMES'!D11+'CEI PROFª SONIA REGINA SCUDESE '!D11+'CEI TIA ALICE'!D11+'E M BATAILLARD'!D11+'E M SOROPTIMISTA'!D11+'E M SALVADOR KLING'!D11+'ESCOLA MUNICIPALIZADA FREI ANIC'!D11+'ESCOLA SÃO JUDAS TADEU'!D11+'CEI PEDRAS BRANCAS'!D11+'CEI MARIA THEREZA KLING DO VALL'!D11+'CEI DONA ESPERANZA DE BOURBON D'!D11+'CEI GIUSEPPE-NEVA VOLONTERIO'!D11+'CENTRO DE EDUCAÇÃO INFANTIL SÃO'!D11+'E M LEONARDO BOFF'!D11+'ESCOLA MUNICIPAL GENERAL HEITOR'!D11+'E M JOHANN NOEL'!D11+'ESCOLA SANTA MARIA GORETTI'!D11+'ESCOLA SANTA RITA DE CASSIA'!D11+'ESCOLA SÃO JOÃO BATISTA'!D11+'CEI CASA DA SOLIDARIEDADE DE NO'!D11+'CEI A SEMENTEIRA'!D11+'CEI VILA SAO JOSE'!D11+'E M DR RUBENS DE CASTRO BOMTEMP'!D11+'CEI FREI LEÃO'!D11+'CEI SÃO JOÃO BATISTA'!D11+'CEI JURACI PINTO DO AMARAL DE C'!D11+'E M PEDRO AMADO'!D11+'E M ABELARDO DE LAMARE'!D11+'ESCOLA MUNICIPAL SENADOR MARIO '!D11+'ESCOLA PAROQUIAL SÃO PIO X'!D11+'CEI SÃO CHARBEL'!D11+'E M ROSALINA NICOLAY'!D11+'CEI INÊS BELARMINO DE SOUZA'!D11+'E M PROFª MARIA DA GLÓRIA QUEIR'!D11+'CENTRO EDUCACIONAL COMUNIDADE S'!D11+'CEI ROMANO CANAVESE'!D11+'CEI CÉLIA LÔBO PAULO'!D11+'CEI PROFª DORA KILLER'!D11+'CEI ALTO INDEPENDÊNCIA'!D11+'ESCOLA MUNICIPAL ALTO INDEPENDÊ'!D11+'E M PAPA JOÃO PAULO II'!D11+'CEI ANDRÉ REBOUÇAS'!D11+'CEI PROFª HERMÍNIA MATHEUS'!D11+'ESCOLA MUNICIPAL MAJOR JÚLIO FR'!D11+'E M ALMIRANTE TAMANDARÉ'!D11+'ESCOLA PAROQUIAL CARLOS DEMIÁ'!D11+'CENTRO PAROQUIAL DE EDUCAÇÃO IN'!D11+'CEI IRMÃ SILVANA'!D11+'CEI OLÍVIA MACHADO DA COSTA NOG'!D11+'E M GOVERNADOR MARCELLO ALENCAR'!D11+'E M PROFESSOR FLÁVIO MACIEL'!D11+'E M PROFª JANDIRA PEIXOTO BORDI'!D11+'E M STEFAN ZWEIG'!D11+'ESCOLA PAROQUIAL BOM JESUS'!D11+'CEI MARLI SOARES FERREIRA NETTO'!D11+'CENTRO DE EDUCAÇÃO INFANTIL CHI'!D11+'CEI VILA IPANEMA'!D11+'E M ROBERT KENNEDY'!D11+'ESCOLA MUNICIPAL ANA MOHAMMAD'!D11+'ESCOLA SÃO CRISTÓVÃO'!D11+'CEI DÉA LÚCIA CORDEIRO'!D11+'CEI SAGRADA FAMÍLIA'!D11+'CEI SÃO JOSÉ DAS OBLATAS DE NAZ'!D11+'ESCOLA MUNICIPAL JORGE AMADO'!D11+'E M FÁBRICA DO SABER'!D11+'CIEP BRIZOLÃO 474 MAESTRO GUERR'!D11+'CENTRO DE ENSINO PROF DARCY RIB'!D11+'CEI ANDRÉ VANZAN'!D11+'CENTRO DE EDUCAÇÃO INFANTIL CAR'!D11+'CEI BOA VISTA'!D11+'ASSOCIAÇÃO DA CRECHE SÃO FRANCI'!D11+'ESCOLA MUNICIPAL PAULO SALDANHA'!D11+'ESCOLA MUNICIPAL LÚCIA DE ALMEI'!D11+'E M DOM MANOEL PEDRO DA CUNHA C'!D11+'ESCOLA SÃO GERALDO'!D11+'CEI LULU MONTEIRO DE CASTRO'!D11+'CEI CARANGOLA'!D11+'ASSOCIAÇÃO RECREAR'!D11+'CENTRO DE EDUCAÇÃO INFANTIL CAS'!D11+'E M ROSEMIRA DE OLIVEIRA CAVALC'!D11+'E MZDA CARMEM NUNES MARTINS'!D11+'CEI SÃO JOSÉ DO ITAMARATI'!D11+'E M DUQUE DE CAXIAS'!D11+'CENTRO DE EDUCAÇÃO INFANTIL  2'!D11+'E M ANTÔNIO LEITE GARCIA'!D11+'ESCOLA PAROQUIAL DA ALCOBAÇA'!D11+'CENTRO DE EDUCAÇÃO INFANTIL LOT'!D11+'ESCOLA PAROQUIAL DO LOTEAMENTO '!D11+'E M PROF JOAQUIM DEISTER'!D11+'E M MARIETA GONÇALVES'!D11+'ESCOLA MUNICIPAL ODETTE YOUNG M'!D11+'ESCOLA MUNICIPAL PROFESSOR JOSE'!D11+'E M HERCÍLIA HENRIQUES MORET'!D11+'COLEGIO VICENTINO PADRE CORRÊA'!D11+'CEI PROFª MARLUCE DE SOUZA PEST'!D11+'CEI IRINEU MARINHO'!D11+'CEI DAGMAR ROLANDO DE OLIVEIRA'!D11+'CEI NOSSA SENHORA DA GLÓRIA'!D11+'E M PROF NILTON COSTA PEREIRA D'!D11+'CENTRO DE EDUCAÇÃO INFANTIL SÉR'!D11+'CEI SANTO ANTÔNIO AGOSTINHO'!D11+'CEI OSWALDO CRUZ'!D11+'E M MAGDALENA TAGLIAFERRO'!D11+'ESCOLA SÃO JOSÉ DO CAETITU'!D11+'CRECHE-ESCOLA CASTELO SÃO MANOE'!D11+'CEI THEREZINHA DE JESUS LIMA'!D11+'ESCOLA MUNICIPAL PROFESSOR PAUL'!D11+'COLÉGIO ANGLICANO DE ARARAS'!D11+'ESCOLA PAROQUIAL SANTA BERNADET'!D11+'CEI VISTA ALEGRE'!D11+'CEI DENISE BESSA DE OLIVA MAYA'!D11+'CEI VIDEIRINHA'!D11+'E M AMÉRICO FERNANDES RIBEIRO'!D11+'ESCOLA MUNICIPAL AUGUSTO PUGNAL'!D11+'ESCOLA MUNICIPAL CELINA SCHECHN'!D11+'E M DARCY CORREA DA VEIGA'!D11+'E M DR PAULA BUARQUE'!D11+'LICEU SÃO JOSÉ DE ITAIPAVA'!D11+'CEI LUIZ MARCHIORI'!D11+'CENTRO DE EDUCAÇÃO INFANTIL AUG'!D11+'CEI PROFª ADRIANA CONSTÂNCIO TR'!D11+'E M AMÉLIA ANTUNES RABELLO'!D11+'CEI PREFEITO SÉRGIO FADEL'!D11+'E M DR THEODORO MACHADO'!D11+'ESCOLA SANTO ANTÔNIO'!D11+'E M TAQUARIL'!D11+'E M MONSENHOR JOÃO DE DEUS RODR'!D11+'CENTRO DE REFERÊNCIA EM EDUC 2'!D11+'CEI PROFª GRAÇA COSTA'!D11+'CEI VILA LEOPOLDINA'!D11+'CEI NILO PEÇANHA'!D11+'E MZDA SANTA TEREZINHA'!D11+'CEI CRIANÇA SANTA EDWIGES'!D11+'E M ARNALDO DYCKERHOFF'!D11+'E M CARLOS CANEDO'!D11+'E M BEATRIZ ZALESKI'!D11+'E M ANTÔNIO JOSÉ DE LIMA'!D11+'E M FELIX WAN ERVEN DE BARROS'!D11+'ESCOLA MUNICIPAL HILDEBRANDO DE'!D11+'E M OSWALDO DA COSTA FRIAS'!D11+'E MZDA AVELINO DE CARVALHO'!D11+'ESCOLA MUNICIPALIZADA MOYSÉS FU'!D11+'CEI ANGELA MARIA DA CONCEIÇÃO S'!D11+'CEI JOSÉ GONÇALVES DA MOTTA'!D11+'E M DR BARROS FRANCO'!D11+'E M MAJOR THEÓFILO DE CARVALHO'!D11+'E M JOÃO KOPKE'!D11+'CEI ASSOCIAÇÃO BENEFICENTE FAZE'!D11+'ESCOLA SAO FRANCISCO DE ASSIS'!D11+'CEI SÃO FRANCISCO ASSIS'!D11+'CEI ALDEIA DA CRIANCA'!D11+'ESCOLA MUNICIPAL ODETTE FONSECA'!D11+'CEI ANA CAROLINA TELLES'!D11+'E M SEBASTIÃO LACERDA'!D11+'E M DOM PEDRO DE ALCÂNTARA'!D11+'ESCOLA NOSSA SENHORA DE FÁTIMA'!D11+'ESCOLA PAROQUIAL SÃO FRANCISCO '!D11+'E M MONSENHOR CIRILLO CALAON'!D11</f>
        <v/>
      </c>
      <c r="D7" s="206">
        <f>'E M ABELARDO DE LAMARE'!M11+'E M BATAILLARD'!M11+'E M LEONARDO BOFF'!M11+'E M CLEMENTE FERNANDES'!M11+'E M DOM PEDRO DE ALCÂNTARA'!M11+'E M DUQUE DE CAXIAS'!M11+'E M LUIZ CARLOS SOARES'!M11+'ESCOLA MUNICIPAL GENERAL HEITOR'!M11+'E M JOÃO KOPKE'!M11+'ESCOLA MUNICIPAL ODETTE FONSECA'!M11+'E M GOVERNADOR MARCELLO ALENCAR'!M11+'E M PROF JOAQUIM DEISTER'!M11+'E M ROBERT KENNEDY'!M11+'E M ROTARY'!M11+'E M ROSALINA NICOLAY'!M11+'E M DE EDUCAÇÃO ESPECIAL SANTOS'!M11+'E M SOROPTIMISTA'!M11+'LICEU MUN PREFEITO CORDOLINO AM'!M11+'E M ANTÔNIO LEITE GARCIA'!M11+'ESCOLA MUNICIPAL JORGE AMADO'!M11+'ESCOLA MUNICIPAL LÚCIA DE ALMEI'!M11+'E M MAGDALENA TAGLIAFERRO'!M11+'ESCOLA MUNICIPAL MAJOR JÚLIO FR'!M11+'E M MARIETA GONÇALVES'!M11+'ESCOLA MUNICIPAL ODETTE YOUNG M'!M11+'E M FÁBRICA DO SABER'!M11+'ESCOLA MUNICIPAL PROFESSOR PAUL'!M11+'E M ROSEMIRA DE OLIVEIRA CAVALC'!M11+'E M AMÉLIA ANTUNES RABELLO'!M11+'ESCOLA MUNICIPAL AUGUSTO PUGNAL'!M11+'ESCOLA MUNICIPAL CELINA SCHECHN'!M11+'E M DARCY CORREA DA VEIGA'!M11+'E M DR PAULA BUARQUE'!M11+'E M DR THEODORO MACHADO'!M11+'E M ARNALDO DYCKERHOFF'!M11+'E M CARLOS CANEDO'!M11+'E M DR BARROS FRANCO'!M11+'E M MAJOR THEÓFILO DE CARVALHO'!M11+'E M TAQUARIL'!M11+'E M BEATRIZ ZALESKI'!M11+'E M ANTÔNIO JOSÉ DE LIMA'!M11+'E M FELIX WAN ERVEN DE BARROS'!M11+'ESCOLA MUNICIPAL HILDEBRANDO DE'!M11+'E M OSWALDO DA COSTA FRIAS'!M11+'E MZDA CARMEM NUNES MARTINS'!M11+'E MZDA AVELINO DE CARVALHO'!M11+'E M GERALDO VENTURA DIAS'!M11+'E M SALVADOR KLING'!M11+'E M PREFEITO JAMIL SABRÁ'!M11+'LICEU MUNICIPAL CARLOS CHAGAS F'!M11+'ESCOLA MUNICIPAL ANA MOHAMMAD'!M11+'ESCOLA MUNICIPAL ALTO INDEPENDÊ'!M11+'E M ALMIRANTE TAMANDARÉ'!M11+'ESCOLA MUNICIPALIZADA FREI ANIC'!M11+'E M PEDRO AMADO'!M11+'E M PROFª MARIA DA GLÓRIA QUEIR'!M11+'E M SEBASTIÃO LACERDA'!M11+'E M PROFESSOR FLÁVIO MACIEL'!M11+'ESCOLA MUNICIPAL PAULO SALDANHA'!M11+'ESCOLA MUNICIPAL PROFESSOR JOSE'!M11+'E M MONSENHOR CIRILLO CALAON'!M11+'E M AMÉRICO FERNANDES RIBEIRO'!M11+'E M PROFª JANDIRA PEIXOTO BORDI'!M11+'E M MONSENHOR JOÃO DE DEUS RODR'!M11+'E M DOM MANOEL PEDRO DA CUNHA C'!M11+'E M JOHANN NOEL'!M11+'E MZDA SANTA TEREZINHA'!M11+'E M PAPA JOÃO PAULO II'!M11+'E M STEFAN ZWEIG'!M11+'ESCOLA MUNICIPAL SENADOR MARIO '!M11+'E M DR RUBENS DE CASTRO BOMTEMP'!M11+'E M PAULO FREIRE'!M11+'E M PROFª MARIA CAMPOS DA SILVA'!M11+'E M HERCÍLIA HENRIQUES MORET'!M11+'ESCOLA MUNICIPALIZADA MOYSÉS FU'!M11+'CIEP BRIZOLÃO 474 MAESTRO GUERR'!M11+'CENTRO DE ENSINO PROF DARCY RIB'!M11+'CASA DA EDUCAÇÃO VISCONDE DE MA'!M11+'CENTRO DE REFERÊNCIA EM EDUCAÇÃ'!M11+'E M PROF NILTON COSTA PEREIRA D'!M11+'COLÉGIO GUNNAR VINGREN DE PETRÓ'!M11+'CENTRO DE REFERÊNCIA EM EDUC 2'!M11+'ESCOLA SANTA LUIZA DE MARILLAC'!M11+'CENTRO EDUCACIONAL COMUNIDADE S'!M11+'EDUCANDÁRIO TERRA SANTA'!M11+'ESCOLA GERMANO VALENTE'!M11+'ESCOLA DAS COMUNIDADES SANTO AN'!M11+'ESCOLA DOMÉSTICA NOSSA SENHORA '!M11+'ESCOLA PAROQUIAL NOSSA SENHO 3'!M11+'ESCOLA MONSENHOR GENTIL'!M11+'ESCOLA PAROQUIAL BOM JESUS'!M11+'ESCOLA PAROQUIAL CARLOS DEMIÁ'!M11+'ESCOLA PAROQUIAL NOSSA SENHO 2'!M11+'ESCOLA PAROQUIAL NOSSA SENHORA '!M11+'ESCOLA PAROQUIAL SÃO PEDRO DE A'!M11+'ESCOLA SANTA MARIA GORETTI'!M11+'ESCOLA SANTA RITA DE CASSIA'!M11+'ESCOLA SÃO CRISTÓVÃO'!M11+'ESCOLA PAROQUIAL SÃO FRANCISCO '!M11+'ESCOLA SAO FRANCISCO DE ASSIS'!M11+'ESCOLA SÃO JOÃO BATISTA'!M11+'ESCOLA SÃO JUDAS TADEU'!M11+'ESCOLA PAROQUIAL SÃO PIO X'!M11+'COLÉGIO ANGLICANO DE ARARAS'!M11+'COLEGIO VICENTINO PADRE CORRÊA'!M11+'ESCOLA NOSSA SENHORA DE FÁTIMA'!M11+'ESCOLA PAROQUIAL DA ALCOBAÇA'!M11+'ESCOLA PAROQUIAL DO LOTEAMENTO '!M11+'ESCOLA PAROQUIAL SANTA BERNADET'!M11+'ESCOLA SÃO GERALDO'!M11+'ESCOLA SANTO ANTÔNIO'!M11+'LICEU SÃO JOSÉ DE ITAIPAVA'!M11+'ESCOLA SÃO JOSÉ DO CAETITU'!M11+'CEI ASSOCIAÇÃO BENEFICENTE FAZE'!M11+'CEI CASA DA SOLIDARIEDADE DE NO'!M11+'CEI LULU MONTEIRO DE CASTRO'!M11+'CEI SÃO JOÃO BATISTA'!M11+'CEI SÃO FRANCISCO ASSIS'!M11+'CEI A SEMENTEIRA'!M11+'CEI FREI LEÃO'!M11+'CEI ROMANO CANAVESE'!M11+'CEI ANDRÉ VANZAN'!M11+'CEI CRIANÇA SANTA EDWIGES'!M11+'CENTRO DE EDUCAÇÃO INFANTIL IRM'!M11+'CEI PEDRAS BRANCAS'!M11+'CEI INÊS BELARMINO DE SOUZA'!M11+'CEI PROFª ROSANGELA DA SILVA LE'!M11+'CEI VILA SAO JOSE'!M11+'CEI MARIA THEREZA KLING DO VALL'!M11+'CEI DEISE ELOY GOMES'!M11+'CENTRO PAROQUIAL DE EDUCAÇÃO IN'!M11+'CEI VISTA ALEGRE'!M11+'CEI ALDEIA DA CRIANCA'!M11+'CEI DÉA LÚCIA CORDEIRO'!M11+'CENTRO DE EDUCAÇÃO INFANTIL CAR'!M11+'CEI IRMÃ SILVANA'!M11+'CEI MARLI SOARES FERREIRA NETTO'!M11+'CEI PROFª SONIA REGINA SCUDESE '!M11+'CEI DONA ESPERANZA DE BOURBON D'!M11+'CEI PREFEITO SÉRGIO FADEL'!M11+'CEI ANDRÉ REBOUÇAS'!M11+'CENTRO DE EDUCAÇÃO INFANTIL CHI'!M11+'CEI TIA ALICE'!M11+'CEI TERRA SANTA'!M11+'CEI JORGE ROLANDO DA SILVA'!M11+'CEI CARANGOLA'!M11+'CEI CÉLIA LÔBO PAULO'!M11+'CEI LIONS CLUBE DE PETRÓPOLIS'!M11+'CEI PROFª GRAÇA COSTA'!M11+'CEI ANGELA MARIA DA CONCEIÇÃO S'!M11+'CEI LUIZ MARCHIORI'!M11+'CEI PROFª MARLUCE DE SOUZA PEST'!M11+'CEI OLÍVIA MACHADO DA COSTA NOG'!M11+'CEI VILA IPANEMA'!M11+'CEI VILA LEOPOLDINA'!M11+'CENTRO DE EDUCAÇÃO INFANTIL CAS'!M11+'CEI PRIMEIRA INFÂNCIA'!M11+'CEI PROFª DORA KILLER'!M11+'CEI PROFª PATRÍCIA FERREIRA E S'!M11+'CEI DRA ZILDA ARNS NEUMANN'!M11+'CEI DENISE BESSA DE OLIVA MAYA'!M11+'CEI GIUSEPPE-NEVA VOLONTERIO'!M11+'CENTRO DE EDUCAÇÃO INFANTIL LOT'!M11+'CEI IRINEU MARINHO'!M11+'CEI OSWALDO CRUZ'!M11+'CEI ANA CAROLINA TELLES'!M11+'CEI JOSÉ GONÇALVES DA MOTTA'!M11+'CEI SAGRADA FAMÍLIA'!M11+'CEI PROFª HERMÍNIA MATHEUS'!M11+'CENTRO DE EDUCAÇÃO INFANTIL PRO'!M11+'CEI MONSENHOR PAULO ELIAS DAHER'!M11+'CEI DAGMAR ROLANDO DE OLIVEIRA'!M11+'CENTRO DE EDUCAÇÃO INFANTIL  2'!M11+'CEI BOA VISTA'!M11+'CEI NILO PEÇANHA'!M11+'CENTRO DE EDUCAÇÃO INFANTIL AUG'!M11+'CEI THEREZINHA DE JESUS LIMA'!M11+'CEI VIDEIRINHA'!M11+'CEI PROFª ADRIANA CONSTÂNCIO TR'!M11+'CENTRO DE EDUCAÇÃO INFANTIL SÉR'!M11+'CEI JURACI PINTO DO AMARAL DE C'!M11+'CEI NOSSA SENHORA DA GLÓRIA'!M11+'CEI ALTO INDEPENDÊNCIA'!M11+'CEI SÃO JOSÉ DAS OBLATAS DE NAZ'!M11+'CEI SANTO ANTÔNIO AGOSTINHO'!M11+'CEI SÃO CHARBEL'!M11+'ASSOCIAÇÃO DA CRECHE SÃO FRANCI'!M11+'CEI SÃO JOSÉ DO ITAMARATI'!M11+'ASSOCIAÇÃO RECREAR'!M11+'CRECHE-ESCOLA CASTELO SÃO MANOE'!M11+'CENTRO DE EDUCAÇÃO INFANTIL SÃO'!M11</f>
        <v/>
      </c>
      <c r="E7" s="207">
        <f>'Entrada de Dados'!E2</f>
        <v/>
      </c>
      <c r="F7" s="207">
        <f>D7*E7</f>
        <v/>
      </c>
    </row>
    <row r="8" ht="15" customHeight="1" s="163">
      <c r="A8" s="195">
        <f>'Entrada de Dados'!F5</f>
        <v/>
      </c>
      <c r="B8" s="206">
        <f>'Entrada de Dados'!F197</f>
        <v/>
      </c>
      <c r="C8" s="206">
        <f>'E M ROTARY'!D12+'E M DE EDUCAÇÃO ESPECIAL SANTOS'!D12+'LICEU MUN PREFEITO CORDOLINO AM'!D12+'E M PREFEITO JAMIL SABRÁ'!D12+'LICEU MUNICIPAL CARLOS CHAGAS F'!D12+'E M PAULO FREIRE'!D12+'E M PROFª MARIA CAMPOS DA SILVA'!D12+'CASA DA EDUCAÇÃO VISCONDE DE MA'!D12+'CENTRO DE REFERÊNCIA EM EDUCAÇÃ'!D12+'ESCOLA SANTA LUIZA DE MARILLAC'!D12+'ESCOLA DOMÉSTICA NOSSA SENHORA '!D12+'ESCOLA MONSENHOR GENTIL'!D12+'ESCOLA PAROQUIAL NOSSA SENHORA '!D12+'ESCOLA PAROQUIAL SÃO PEDRO DE A'!D12+'CEI TERRA SANTA'!D12+'CEI PRIMEIRA INFÂNCIA'!D12+'CEI PROFª PATRÍCIA FERREIRA E S'!D12+'CEI DRA ZILDA ARNS NEUMANN'!D12+'CENTRO DE EDUCAÇÃO INFANTIL PRO'!D12+'CEI MONSENHOR PAULO ELIAS DAHER'!D12+'COLÉGIO GUNNAR VINGREN DE PETRÓ'!D12+'EDUCANDÁRIO TERRA SANTA'!D12+'CEI LIONS CLUBE DE PETRÓPOLIS'!D12+'ESCOLA PAROQUIAL NOSSA SENHO 2'!D12+'CENTRO DE EDUCAÇÃO INFANTIL IRM'!D12+'E M LUIZ CARLOS SOARES'!D12+'ESCOLA GERMANO VALENTE'!D12+'ESCOLA PAROQUIAL NOSSA SENHO 3'!D12+'CEI JORGE ROLANDO DA SILVA'!D12+'E M CLEMENTE FERNANDES'!D12+'E M GERALDO VENTURA DIAS'!D12+'ESCOLA DAS COMUNIDADES SANTO AN'!D12+'CEI PROFª ROSANGELA DA SILVA LE'!D12+'CEI DEISE ELOY GOMES'!D12+'CEI PROFª SONIA REGINA SCUDESE '!D12+'CEI TIA ALICE'!D12+'E M BATAILLARD'!D12+'E M SOROPTIMISTA'!D12+'E M SALVADOR KLING'!D12+'ESCOLA MUNICIPALIZADA FREI ANIC'!D12+'ESCOLA SÃO JUDAS TADEU'!D12+'CEI PEDRAS BRANCAS'!D12+'CEI MARIA THEREZA KLING DO VALL'!D12+'CEI DONA ESPERANZA DE BOURBON D'!D12+'CEI GIUSEPPE-NEVA VOLONTERIO'!D12+'CENTRO DE EDUCAÇÃO INFANTIL SÃO'!D12+'E M LEONARDO BOFF'!D12+'ESCOLA MUNICIPAL GENERAL HEITOR'!D12+'E M JOHANN NOEL'!D12+'ESCOLA SANTA MARIA GORETTI'!D12+'ESCOLA SANTA RITA DE CASSIA'!D12+'ESCOLA SÃO JOÃO BATISTA'!D12+'CEI CASA DA SOLIDARIEDADE DE NO'!D12+'CEI A SEMENTEIRA'!D12+'CEI VILA SAO JOSE'!D12+'E M DR RUBENS DE CASTRO BOMTEMP'!D12+'CEI FREI LEÃO'!D12+'CEI SÃO JOÃO BATISTA'!D12+'CEI JURACI PINTO DO AMARAL DE C'!D12+'E M PEDRO AMADO'!D12+'E M ABELARDO DE LAMARE'!D12+'ESCOLA MUNICIPAL SENADOR MARIO '!D12+'ESCOLA PAROQUIAL SÃO PIO X'!D12+'CEI SÃO CHARBEL'!D12+'E M ROSALINA NICOLAY'!D12+'CEI INÊS BELARMINO DE SOUZA'!D12+'E M PROFª MARIA DA GLÓRIA QUEIR'!D12+'CENTRO EDUCACIONAL COMUNIDADE S'!D12+'CEI ROMANO CANAVESE'!D12+'CEI CÉLIA LÔBO PAULO'!D12+'CEI PROFª DORA KILLER'!D12+'CEI ALTO INDEPENDÊNCIA'!D12+'ESCOLA MUNICIPAL ALTO INDEPENDÊ'!D12+'E M PAPA JOÃO PAULO II'!D12+'CEI ANDRÉ REBOUÇAS'!D12+'CEI PROFª HERMÍNIA MATHEUS'!D12+'ESCOLA MUNICIPAL MAJOR JÚLIO FR'!D12+'E M ALMIRANTE TAMANDARÉ'!D12+'ESCOLA PAROQUIAL CARLOS DEMIÁ'!D12+'CENTRO PAROQUIAL DE EDUCAÇÃO IN'!D12+'CEI IRMÃ SILVANA'!D12+'CEI OLÍVIA MACHADO DA COSTA NOG'!D12+'E M GOVERNADOR MARCELLO ALENCAR'!D12+'E M PROFESSOR FLÁVIO MACIEL'!D12+'E M PROFª JANDIRA PEIXOTO BORDI'!D12+'E M STEFAN ZWEIG'!D12+'ESCOLA PAROQUIAL BOM JESUS'!D12+'CEI MARLI SOARES FERREIRA NETTO'!D12+'CENTRO DE EDUCAÇÃO INFANTIL CHI'!D12+'CEI VILA IPANEMA'!D12+'E M ROBERT KENNEDY'!D12+'ESCOLA MUNICIPAL ANA MOHAMMAD'!D12+'ESCOLA SÃO CRISTÓVÃO'!D12+'CEI DÉA LÚCIA CORDEIRO'!D12+'CEI SAGRADA FAMÍLIA'!D12+'CEI SÃO JOSÉ DAS OBLATAS DE NAZ'!D12+'ESCOLA MUNICIPAL JORGE AMADO'!D12+'E M FÁBRICA DO SABER'!D12+'CIEP BRIZOLÃO 474 MAESTRO GUERR'!D12+'CENTRO DE ENSINO PROF DARCY RIB'!D12+'CEI ANDRÉ VANZAN'!D12+'CENTRO DE EDUCAÇÃO INFANTIL CAR'!D12+'CEI BOA VISTA'!D12+'ASSOCIAÇÃO DA CRECHE SÃO FRANCI'!D12+'ESCOLA MUNICIPAL PAULO SALDANHA'!D12+'ESCOLA MUNICIPAL LÚCIA DE ALMEI'!D12+'E M DOM MANOEL PEDRO DA CUNHA C'!D12+'ESCOLA SÃO GERALDO'!D12+'CEI LULU MONTEIRO DE CASTRO'!D12+'CEI CARANGOLA'!D12+'ASSOCIAÇÃO RECREAR'!D12+'CENTRO DE EDUCAÇÃO INFANTIL CAS'!D12+'E M ROSEMIRA DE OLIVEIRA CAVALC'!D12+'E MZDA CARMEM NUNES MARTINS'!D12+'CEI SÃO JOSÉ DO ITAMARATI'!D12+'E M DUQUE DE CAXIAS'!D12+'CENTRO DE EDUCAÇÃO INFANTIL  2'!D12+'E M ANTÔNIO LEITE GARCIA'!D12+'ESCOLA PAROQUIAL DA ALCOBAÇA'!D12+'CENTRO DE EDUCAÇÃO INFANTIL LOT'!D12+'ESCOLA PAROQUIAL DO LOTEAMENTO '!D12+'E M PROF JOAQUIM DEISTER'!D12+'E M MARIETA GONÇALVES'!D12+'ESCOLA MUNICIPAL ODETTE YOUNG M'!D12+'ESCOLA MUNICIPAL PROFESSOR JOSE'!D12+'E M HERCÍLIA HENRIQUES MORET'!D12+'COLEGIO VICENTINO PADRE CORRÊA'!D12+'CEI PROFª MARLUCE DE SOUZA PEST'!D12+'CEI IRINEU MARINHO'!D12+'CEI DAGMAR ROLANDO DE OLIVEIRA'!D12+'CEI NOSSA SENHORA DA GLÓRIA'!D12+'E M PROF NILTON COSTA PEREIRA D'!D12+'CENTRO DE EDUCAÇÃO INFANTIL SÉR'!D12+'CEI SANTO ANTÔNIO AGOSTINHO'!D12+'CEI OSWALDO CRUZ'!D12+'E M MAGDALENA TAGLIAFERRO'!D12+'ESCOLA SÃO JOSÉ DO CAETITU'!D12+'CRECHE-ESCOLA CASTELO SÃO MANOE'!D12+'CEI THEREZINHA DE JESUS LIMA'!D12+'ESCOLA MUNICIPAL PROFESSOR PAUL'!D12+'COLÉGIO ANGLICANO DE ARARAS'!D12+'ESCOLA PAROQUIAL SANTA BERNADET'!D12+'CEI VISTA ALEGRE'!D12+'CEI DENISE BESSA DE OLIVA MAYA'!D12+'CEI VIDEIRINHA'!D12+'E M AMÉRICO FERNANDES RIBEIRO'!D12+'ESCOLA MUNICIPAL AUGUSTO PUGNAL'!D12+'ESCOLA MUNICIPAL CELINA SCHECHN'!D12+'E M DARCY CORREA DA VEIGA'!D12+'E M DR PAULA BUARQUE'!D12+'LICEU SÃO JOSÉ DE ITAIPAVA'!D12+'CEI LUIZ MARCHIORI'!D12+'CENTRO DE EDUCAÇÃO INFANTIL AUG'!D12+'CEI PROFª ADRIANA CONSTÂNCIO TR'!D12+'E M AMÉLIA ANTUNES RABELLO'!D12+'CEI PREFEITO SÉRGIO FADEL'!D12+'E M DR THEODORO MACHADO'!D12+'ESCOLA SANTO ANTÔNIO'!D12+'E M TAQUARIL'!D12+'E M MONSENHOR JOÃO DE DEUS RODR'!D12+'CENTRO DE REFERÊNCIA EM EDUC 2'!D12+'CEI PROFª GRAÇA COSTA'!D12+'CEI VILA LEOPOLDINA'!D12+'CEI NILO PEÇANHA'!D12+'E MZDA SANTA TEREZINHA'!D12+'CEI CRIANÇA SANTA EDWIGES'!D12+'E M ARNALDO DYCKERHOFF'!D12+'E M CARLOS CANEDO'!D12+'E M BEATRIZ ZALESKI'!D12+'E M ANTÔNIO JOSÉ DE LIMA'!D12+'E M FELIX WAN ERVEN DE BARROS'!D12+'ESCOLA MUNICIPAL HILDEBRANDO DE'!D12+'E M OSWALDO DA COSTA FRIAS'!D12+'E MZDA AVELINO DE CARVALHO'!D12+'ESCOLA MUNICIPALIZADA MOYSÉS FU'!D12+'CEI ANGELA MARIA DA CONCEIÇÃO S'!D12+'CEI JOSÉ GONÇALVES DA MOTTA'!D12+'E M DR BARROS FRANCO'!D12+'E M MAJOR THEÓFILO DE CARVALHO'!D12+'E M JOÃO KOPKE'!D12+'CEI ASSOCIAÇÃO BENEFICENTE FAZE'!D12+'ESCOLA SAO FRANCISCO DE ASSIS'!D12+'CEI SÃO FRANCISCO ASSIS'!D12+'CEI ALDEIA DA CRIANCA'!D12+'ESCOLA MUNICIPAL ODETTE FONSECA'!D12+'CEI ANA CAROLINA TELLES'!D12+'E M SEBASTIÃO LACERDA'!D12+'E M DOM PEDRO DE ALCÂNTARA'!D12+'ESCOLA NOSSA SENHORA DE FÁTIMA'!D12+'ESCOLA PAROQUIAL SÃO FRANCISCO '!D12+'E M MONSENHOR CIRILLO CALAON'!D12</f>
        <v/>
      </c>
      <c r="D8" s="206">
        <f>'E M ABELARDO DE LAMARE'!M12+'E M BATAILLARD'!M12+'E M LEONARDO BOFF'!M12+'E M CLEMENTE FERNANDES'!M12+'E M DOM PEDRO DE ALCÂNTARA'!M12+'E M DUQUE DE CAXIAS'!M12+'E M LUIZ CARLOS SOARES'!M12+'ESCOLA MUNICIPAL GENERAL HEITOR'!M12+'E M JOÃO KOPKE'!M12+'ESCOLA MUNICIPAL ODETTE FONSECA'!M12+'E M GOVERNADOR MARCELLO ALENCAR'!M12+'E M PROF JOAQUIM DEISTER'!M12+'E M ROBERT KENNEDY'!M12+'E M ROTARY'!M12+'E M ROSALINA NICOLAY'!M12+'E M DE EDUCAÇÃO ESPECIAL SANTOS'!M12+'E M SOROPTIMISTA'!M12+'LICEU MUN PREFEITO CORDOLINO AM'!M12+'E M ANTÔNIO LEITE GARCIA'!M12+'ESCOLA MUNICIPAL JORGE AMADO'!M12+'ESCOLA MUNICIPAL LÚCIA DE ALMEI'!M12+'E M MAGDALENA TAGLIAFERRO'!M12+'ESCOLA MUNICIPAL MAJOR JÚLIO FR'!M12+'E M MARIETA GONÇALVES'!M12+'ESCOLA MUNICIPAL ODETTE YOUNG M'!M12+'E M FÁBRICA DO SABER'!M12+'ESCOLA MUNICIPAL PROFESSOR PAUL'!M12+'E M ROSEMIRA DE OLIVEIRA CAVALC'!M12+'E M AMÉLIA ANTUNES RABELLO'!M12+'ESCOLA MUNICIPAL AUGUSTO PUGNAL'!M12+'ESCOLA MUNICIPAL CELINA SCHECHN'!M12+'E M DARCY CORREA DA VEIGA'!M12+'E M DR PAULA BUARQUE'!M12+'E M DR THEODORO MACHADO'!M12+'E M ARNALDO DYCKERHOFF'!M12+'E M CARLOS CANEDO'!M12+'E M DR BARROS FRANCO'!M12+'E M MAJOR THEÓFILO DE CARVALHO'!M12+'E M TAQUARIL'!M12+'E M BEATRIZ ZALESKI'!M12+'E M ANTÔNIO JOSÉ DE LIMA'!M12+'E M FELIX WAN ERVEN DE BARROS'!M12+'ESCOLA MUNICIPAL HILDEBRANDO DE'!M12+'E M OSWALDO DA COSTA FRIAS'!M12+'E MZDA CARMEM NUNES MARTINS'!M12+'E MZDA AVELINO DE CARVALHO'!M12+'E M GERALDO VENTURA DIAS'!M12+'E M SALVADOR KLING'!M12+'E M PREFEITO JAMIL SABRÁ'!M12+'LICEU MUNICIPAL CARLOS CHAGAS F'!M12+'ESCOLA MUNICIPAL ANA MOHAMMAD'!M12+'ESCOLA MUNICIPAL ALTO INDEPENDÊ'!M12+'E M ALMIRANTE TAMANDARÉ'!M12+'ESCOLA MUNICIPALIZADA FREI ANIC'!M12+'E M PEDRO AMADO'!M12+'E M PROFª MARIA DA GLÓRIA QUEIR'!M12+'E M SEBASTIÃO LACERDA'!M12+'E M PROFESSOR FLÁVIO MACIEL'!M12+'ESCOLA MUNICIPAL PAULO SALDANHA'!M12+'ESCOLA MUNICIPAL PROFESSOR JOSE'!M12+'E M MONSENHOR CIRILLO CALAON'!M12+'E M AMÉRICO FERNANDES RIBEIRO'!M12+'E M PROFª JANDIRA PEIXOTO BORDI'!M12+'E M MONSENHOR JOÃO DE DEUS RODR'!M12+'E M DOM MANOEL PEDRO DA CUNHA C'!M12+'E M JOHANN NOEL'!M12+'E MZDA SANTA TEREZINHA'!M12+'E M PAPA JOÃO PAULO II'!M12+'E M STEFAN ZWEIG'!M12+'ESCOLA MUNICIPAL SENADOR MARIO '!M12+'E M DR RUBENS DE CASTRO BOMTEMP'!M12+'E M PAULO FREIRE'!M12+'E M PROFª MARIA CAMPOS DA SILVA'!M12+'E M HERCÍLIA HENRIQUES MORET'!M12+'ESCOLA MUNICIPALIZADA MOYSÉS FU'!M12+'CIEP BRIZOLÃO 474 MAESTRO GUERR'!M12+'CENTRO DE ENSINO PROF DARCY RIB'!M12+'CASA DA EDUCAÇÃO VISCONDE DE MA'!M12+'CENTRO DE REFERÊNCIA EM EDUCAÇÃ'!M12+'E M PROF NILTON COSTA PEREIRA D'!M12+'COLÉGIO GUNNAR VINGREN DE PETRÓ'!M12+'CENTRO DE REFERÊNCIA EM EDUC 2'!M12+'ESCOLA SANTA LUIZA DE MARILLAC'!M12+'CENTRO EDUCACIONAL COMUNIDADE S'!M12+'EDUCANDÁRIO TERRA SANTA'!M12+'ESCOLA GERMANO VALENTE'!M12+'ESCOLA DAS COMUNIDADES SANTO AN'!M12+'ESCOLA DOMÉSTICA NOSSA SENHORA '!M12+'ESCOLA PAROQUIAL NOSSA SENHO 3'!M12+'ESCOLA MONSENHOR GENTIL'!M12+'ESCOLA PAROQUIAL BOM JESUS'!M12+'ESCOLA PAROQUIAL CARLOS DEMIÁ'!M12+'ESCOLA PAROQUIAL NOSSA SENHO 2'!M12+'ESCOLA PAROQUIAL NOSSA SENHORA '!M12+'ESCOLA PAROQUIAL SÃO PEDRO DE A'!M12+'ESCOLA SANTA MARIA GORETTI'!M12+'ESCOLA SANTA RITA DE CASSIA'!M12+'ESCOLA SÃO CRISTÓVÃO'!M12+'ESCOLA PAROQUIAL SÃO FRANCISCO '!M12+'ESCOLA SAO FRANCISCO DE ASSIS'!M12+'ESCOLA SÃO JOÃO BATISTA'!M12+'ESCOLA SÃO JUDAS TADEU'!M12+'ESCOLA PAROQUIAL SÃO PIO X'!M12+'COLÉGIO ANGLICANO DE ARARAS'!M12+'COLEGIO VICENTINO PADRE CORRÊA'!M12+'ESCOLA NOSSA SENHORA DE FÁTIMA'!M12+'ESCOLA PAROQUIAL DA ALCOBAÇA'!M12+'ESCOLA PAROQUIAL DO LOTEAMENTO '!M12+'ESCOLA PAROQUIAL SANTA BERNADET'!M12+'ESCOLA SÃO GERALDO'!M12+'ESCOLA SANTO ANTÔNIO'!M12+'LICEU SÃO JOSÉ DE ITAIPAVA'!M12+'ESCOLA SÃO JOSÉ DO CAETITU'!M12+'CEI ASSOCIAÇÃO BENEFICENTE FAZE'!M12+'CEI CASA DA SOLIDARIEDADE DE NO'!M12+'CEI LULU MONTEIRO DE CASTRO'!M12+'CEI SÃO JOÃO BATISTA'!M12+'CEI SÃO FRANCISCO ASSIS'!M12+'CEI A SEMENTEIRA'!M12+'CEI FREI LEÃO'!M12+'CEI ROMANO CANAVESE'!M12+'CEI ANDRÉ VANZAN'!M12+'CEI CRIANÇA SANTA EDWIGES'!M12+'CENTRO DE EDUCAÇÃO INFANTIL IRM'!M12+'CEI PEDRAS BRANCAS'!M12+'CEI INÊS BELARMINO DE SOUZA'!M12+'CEI PROFª ROSANGELA DA SILVA LE'!M12+'CEI VILA SAO JOSE'!M12+'CEI MARIA THEREZA KLING DO VALL'!M12+'CEI DEISE ELOY GOMES'!M12+'CENTRO PAROQUIAL DE EDUCAÇÃO IN'!M12+'CEI VISTA ALEGRE'!M12+'CEI ALDEIA DA CRIANCA'!M12+'CEI DÉA LÚCIA CORDEIRO'!M12+'CENTRO DE EDUCAÇÃO INFANTIL CAR'!M12+'CEI IRMÃ SILVANA'!M12+'CEI MARLI SOARES FERREIRA NETTO'!M12+'CEI PROFª SONIA REGINA SCUDESE '!M12+'CEI DONA ESPERANZA DE BOURBON D'!M12+'CEI PREFEITO SÉRGIO FADEL'!M12+'CEI ANDRÉ REBOUÇAS'!M12+'CENTRO DE EDUCAÇÃO INFANTIL CHI'!M12+'CEI TIA ALICE'!M12+'CEI TERRA SANTA'!M12+'CEI JORGE ROLANDO DA SILVA'!M12+'CEI CARANGOLA'!M12+'CEI CÉLIA LÔBO PAULO'!M12+'CEI LIONS CLUBE DE PETRÓPOLIS'!M12+'CEI PROFª GRAÇA COSTA'!M12+'CEI ANGELA MARIA DA CONCEIÇÃO S'!M12+'CEI LUIZ MARCHIORI'!M12+'CEI PROFª MARLUCE DE SOUZA PEST'!M12+'CEI OLÍVIA MACHADO DA COSTA NOG'!M12+'CEI VILA IPANEMA'!M12+'CEI VILA LEOPOLDINA'!M12+'CENTRO DE EDUCAÇÃO INFANTIL CAS'!M12+'CEI PRIMEIRA INFÂNCIA'!M12+'CEI PROFª DORA KILLER'!M12+'CEI PROFª PATRÍCIA FERREIRA E S'!M12+'CEI DRA ZILDA ARNS NEUMANN'!M12+'CEI DENISE BESSA DE OLIVA MAYA'!M12+'CEI GIUSEPPE-NEVA VOLONTERIO'!M12+'CENTRO DE EDUCAÇÃO INFANTIL LOT'!M12+'CEI IRINEU MARINHO'!M12+'CEI OSWALDO CRUZ'!M12+'CEI ANA CAROLINA TELLES'!M12+'CEI JOSÉ GONÇALVES DA MOTTA'!M12+'CEI SAGRADA FAMÍLIA'!M12+'CEI PROFª HERMÍNIA MATHEUS'!M12+'CENTRO DE EDUCAÇÃO INFANTIL PRO'!M12+'CEI MONSENHOR PAULO ELIAS DAHER'!M12+'CEI DAGMAR ROLANDO DE OLIVEIRA'!M12+'CENTRO DE EDUCAÇÃO INFANTIL  2'!M12+'CEI BOA VISTA'!M12+'CEI NILO PEÇANHA'!M12+'CENTRO DE EDUCAÇÃO INFANTIL AUG'!M12+'CEI THEREZINHA DE JESUS LIMA'!M12+'CEI VIDEIRINHA'!M12+'CEI PROFª ADRIANA CONSTÂNCIO TR'!M12+'CENTRO DE EDUCAÇÃO INFANTIL SÉR'!M12+'CEI JURACI PINTO DO AMARAL DE C'!M12+'CEI NOSSA SENHORA DA GLÓRIA'!M12+'CEI ALTO INDEPENDÊNCIA'!M12+'CEI SÃO JOSÉ DAS OBLATAS DE NAZ'!M12+'CEI SANTO ANTÔNIO AGOSTINHO'!M12+'CEI SÃO CHARBEL'!M12+'ASSOCIAÇÃO DA CRECHE SÃO FRANCI'!M12+'CEI SÃO JOSÉ DO ITAMARATI'!M12+'ASSOCIAÇÃO RECREAR'!M12+'CRECHE-ESCOLA CASTELO SÃO MANOE'!M12+'CENTRO DE EDUCAÇÃO INFANTIL SÃO'!M12</f>
        <v/>
      </c>
      <c r="E8" s="207">
        <f>'Entrada de Dados'!F2</f>
        <v/>
      </c>
      <c r="F8" s="207">
        <f>D8*E8</f>
        <v/>
      </c>
    </row>
    <row r="9" ht="15" customHeight="1" s="163">
      <c r="A9" s="195">
        <f>'Entrada de Dados'!G5</f>
        <v/>
      </c>
      <c r="B9" s="206">
        <f>'Entrada de Dados'!G197</f>
        <v/>
      </c>
      <c r="C9" s="206">
        <f>'E M ROTARY'!D13+'E M DE EDUCAÇÃO ESPECIAL SANTOS'!D13+'LICEU MUN PREFEITO CORDOLINO AM'!D13+'E M PREFEITO JAMIL SABRÁ'!D13+'LICEU MUNICIPAL CARLOS CHAGAS F'!D13+'E M PAULO FREIRE'!D13+'E M PROFª MARIA CAMPOS DA SILVA'!D13+'CASA DA EDUCAÇÃO VISCONDE DE MA'!D13+'CENTRO DE REFERÊNCIA EM EDUCAÇÃ'!D13+'ESCOLA SANTA LUIZA DE MARILLAC'!D13+'ESCOLA DOMÉSTICA NOSSA SENHORA '!D13+'ESCOLA MONSENHOR GENTIL'!D13+'ESCOLA PAROQUIAL NOSSA SENHORA '!D13+'ESCOLA PAROQUIAL SÃO PEDRO DE A'!D13+'CEI TERRA SANTA'!D13+'CEI PRIMEIRA INFÂNCIA'!D13+'CEI PROFª PATRÍCIA FERREIRA E S'!D13+'CEI DRA ZILDA ARNS NEUMANN'!D13+'CENTRO DE EDUCAÇÃO INFANTIL PRO'!D13+'CEI MONSENHOR PAULO ELIAS DAHER'!D13+'COLÉGIO GUNNAR VINGREN DE PETRÓ'!D13+'EDUCANDÁRIO TERRA SANTA'!D13+'CEI LIONS CLUBE DE PETRÓPOLIS'!D13+'ESCOLA PAROQUIAL NOSSA SENHO 2'!D13+'CENTRO DE EDUCAÇÃO INFANTIL IRM'!D13+'E M LUIZ CARLOS SOARES'!D13+'ESCOLA GERMANO VALENTE'!D13+'ESCOLA PAROQUIAL NOSSA SENHO 3'!D13+'CEI JORGE ROLANDO DA SILVA'!D13+'E M CLEMENTE FERNANDES'!D13+'E M GERALDO VENTURA DIAS'!D13+'ESCOLA DAS COMUNIDADES SANTO AN'!D13+'CEI PROFª ROSANGELA DA SILVA LE'!D13+'CEI DEISE ELOY GOMES'!D13+'CEI PROFª SONIA REGINA SCUDESE '!D13+'CEI TIA ALICE'!D13+'E M BATAILLARD'!D13+'E M SOROPTIMISTA'!D13+'E M SALVADOR KLING'!D13+'ESCOLA MUNICIPALIZADA FREI ANIC'!D13+'ESCOLA SÃO JUDAS TADEU'!D13+'CEI PEDRAS BRANCAS'!D13+'CEI MARIA THEREZA KLING DO VALL'!D13+'CEI DONA ESPERANZA DE BOURBON D'!D13+'CEI GIUSEPPE-NEVA VOLONTERIO'!D13+'CENTRO DE EDUCAÇÃO INFANTIL SÃO'!D13+'E M LEONARDO BOFF'!D13+'ESCOLA MUNICIPAL GENERAL HEITOR'!D13+'E M JOHANN NOEL'!D13+'ESCOLA SANTA MARIA GORETTI'!D13+'ESCOLA SANTA RITA DE CASSIA'!D13+'ESCOLA SÃO JOÃO BATISTA'!D13+'CEI CASA DA SOLIDARIEDADE DE NO'!D13+'CEI A SEMENTEIRA'!D13+'CEI VILA SAO JOSE'!D13+'E M DR RUBENS DE CASTRO BOMTEMP'!D13+'CEI FREI LEÃO'!D13+'CEI SÃO JOÃO BATISTA'!D13+'CEI JURACI PINTO DO AMARAL DE C'!D13+'E M PEDRO AMADO'!D13+'E M ABELARDO DE LAMARE'!D13+'ESCOLA MUNICIPAL SENADOR MARIO '!D13+'ESCOLA PAROQUIAL SÃO PIO X'!D13+'CEI SÃO CHARBEL'!D13+'E M ROSALINA NICOLAY'!D13+'CEI INÊS BELARMINO DE SOUZA'!D13+'E M PROFª MARIA DA GLÓRIA QUEIR'!D13+'CENTRO EDUCACIONAL COMUNIDADE S'!D13+'CEI ROMANO CANAVESE'!D13+'CEI CÉLIA LÔBO PAULO'!D13+'CEI PROFª DORA KILLER'!D13+'CEI ALTO INDEPENDÊNCIA'!D13+'ESCOLA MUNICIPAL ALTO INDEPENDÊ'!D13+'E M PAPA JOÃO PAULO II'!D13+'CEI ANDRÉ REBOUÇAS'!D13+'CEI PROFª HERMÍNIA MATHEUS'!D13+'ESCOLA MUNICIPAL MAJOR JÚLIO FR'!D13+'E M ALMIRANTE TAMANDARÉ'!D13+'ESCOLA PAROQUIAL CARLOS DEMIÁ'!D13+'CENTRO PAROQUIAL DE EDUCAÇÃO IN'!D13+'CEI IRMÃ SILVANA'!D13+'CEI OLÍVIA MACHADO DA COSTA NOG'!D13+'E M GOVERNADOR MARCELLO ALENCAR'!D13+'E M PROFESSOR FLÁVIO MACIEL'!D13+'E M PROFª JANDIRA PEIXOTO BORDI'!D13+'E M STEFAN ZWEIG'!D13+'ESCOLA PAROQUIAL BOM JESUS'!D13+'CEI MARLI SOARES FERREIRA NETTO'!D13+'CENTRO DE EDUCAÇÃO INFANTIL CHI'!D13+'CEI VILA IPANEMA'!D13+'E M ROBERT KENNEDY'!D13+'ESCOLA MUNICIPAL ANA MOHAMMAD'!D13+'ESCOLA SÃO CRISTÓVÃO'!D13+'CEI DÉA LÚCIA CORDEIRO'!D13+'CEI SAGRADA FAMÍLIA'!D13+'CEI SÃO JOSÉ DAS OBLATAS DE NAZ'!D13+'ESCOLA MUNICIPAL JORGE AMADO'!D13+'E M FÁBRICA DO SABER'!D13+'CIEP BRIZOLÃO 474 MAESTRO GUERR'!D13+'CENTRO DE ENSINO PROF DARCY RIB'!D13+'CEI ANDRÉ VANZAN'!D13+'CENTRO DE EDUCAÇÃO INFANTIL CAR'!D13+'CEI BOA VISTA'!D13+'ASSOCIAÇÃO DA CRECHE SÃO FRANCI'!D13+'ESCOLA MUNICIPAL PAULO SALDANHA'!D13+'ESCOLA MUNICIPAL LÚCIA DE ALMEI'!D13+'E M DOM MANOEL PEDRO DA CUNHA C'!D13+'ESCOLA SÃO GERALDO'!D13+'CEI LULU MONTEIRO DE CASTRO'!D13+'CEI CARANGOLA'!D13+'ASSOCIAÇÃO RECREAR'!D13+'CENTRO DE EDUCAÇÃO INFANTIL CAS'!D13+'E M ROSEMIRA DE OLIVEIRA CAVALC'!D13+'E MZDA CARMEM NUNES MARTINS'!D13+'CEI SÃO JOSÉ DO ITAMARATI'!D13+'E M DUQUE DE CAXIAS'!D13+'CENTRO DE EDUCAÇÃO INFANTIL  2'!D13+'E M ANTÔNIO LEITE GARCIA'!D13+'ESCOLA PAROQUIAL DA ALCOBAÇA'!D13+'CENTRO DE EDUCAÇÃO INFANTIL LOT'!D13+'ESCOLA PAROQUIAL DO LOTEAMENTO '!D13+'E M PROF JOAQUIM DEISTER'!D13+'E M MARIETA GONÇALVES'!D13+'ESCOLA MUNICIPAL ODETTE YOUNG M'!D13+'ESCOLA MUNICIPAL PROFESSOR JOSE'!D13+'E M HERCÍLIA HENRIQUES MORET'!D13+'COLEGIO VICENTINO PADRE CORRÊA'!D13+'CEI PROFª MARLUCE DE SOUZA PEST'!D13+'CEI IRINEU MARINHO'!D13+'CEI DAGMAR ROLANDO DE OLIVEIRA'!D13+'CEI NOSSA SENHORA DA GLÓRIA'!D13+'E M PROF NILTON COSTA PEREIRA D'!D13+'CENTRO DE EDUCAÇÃO INFANTIL SÉR'!D13+'CEI SANTO ANTÔNIO AGOSTINHO'!D13+'CEI OSWALDO CRUZ'!D13+'E M MAGDALENA TAGLIAFERRO'!D13+'ESCOLA SÃO JOSÉ DO CAETITU'!D13+'CRECHE-ESCOLA CASTELO SÃO MANOE'!D13+'CEI THEREZINHA DE JESUS LIMA'!D13+'ESCOLA MUNICIPAL PROFESSOR PAUL'!D13+'COLÉGIO ANGLICANO DE ARARAS'!D13+'ESCOLA PAROQUIAL SANTA BERNADET'!D13+'CEI VISTA ALEGRE'!D13+'CEI DENISE BESSA DE OLIVA MAYA'!D13+'CEI VIDEIRINHA'!D13+'E M AMÉRICO FERNANDES RIBEIRO'!D13+'ESCOLA MUNICIPAL AUGUSTO PUGNAL'!D13+'ESCOLA MUNICIPAL CELINA SCHECHN'!D13+'E M DARCY CORREA DA VEIGA'!D13+'E M DR PAULA BUARQUE'!D13+'LICEU SÃO JOSÉ DE ITAIPAVA'!D13+'CEI LUIZ MARCHIORI'!D13+'CENTRO DE EDUCAÇÃO INFANTIL AUG'!D13+'CEI PROFª ADRIANA CONSTÂNCIO TR'!D13+'E M AMÉLIA ANTUNES RABELLO'!D13+'CEI PREFEITO SÉRGIO FADEL'!D13+'E M DR THEODORO MACHADO'!D13+'ESCOLA SANTO ANTÔNIO'!D13+'E M TAQUARIL'!D13+'E M MONSENHOR JOÃO DE DEUS RODR'!D13+'CENTRO DE REFERÊNCIA EM EDUC 2'!D13+'CEI PROFª GRAÇA COSTA'!D13+'CEI VILA LEOPOLDINA'!D13+'CEI NILO PEÇANHA'!D13+'E MZDA SANTA TEREZINHA'!D13+'CEI CRIANÇA SANTA EDWIGES'!D13+'E M ARNALDO DYCKERHOFF'!D13+'E M CARLOS CANEDO'!D13+'E M BEATRIZ ZALESKI'!D13+'E M ANTÔNIO JOSÉ DE LIMA'!D13+'E M FELIX WAN ERVEN DE BARROS'!D13+'ESCOLA MUNICIPAL HILDEBRANDO DE'!D13+'E M OSWALDO DA COSTA FRIAS'!D13+'E MZDA AVELINO DE CARVALHO'!D13+'ESCOLA MUNICIPALIZADA MOYSÉS FU'!D13+'CEI ANGELA MARIA DA CONCEIÇÃO S'!D13+'CEI JOSÉ GONÇALVES DA MOTTA'!D13+'E M DR BARROS FRANCO'!D13+'E M MAJOR THEÓFILO DE CARVALHO'!D13+'E M JOÃO KOPKE'!D13+'CEI ASSOCIAÇÃO BENEFICENTE FAZE'!D13+'ESCOLA SAO FRANCISCO DE ASSIS'!D13+'CEI SÃO FRANCISCO ASSIS'!D13+'CEI ALDEIA DA CRIANCA'!D13+'ESCOLA MUNICIPAL ODETTE FONSECA'!D13+'CEI ANA CAROLINA TELLES'!D13+'E M SEBASTIÃO LACERDA'!D13+'E M DOM PEDRO DE ALCÂNTARA'!D13+'ESCOLA NOSSA SENHORA DE FÁTIMA'!D13+'ESCOLA PAROQUIAL SÃO FRANCISCO '!D13+'E M MONSENHOR CIRILLO CALAON'!D13</f>
        <v/>
      </c>
      <c r="D9" s="206">
        <f>'E M ABELARDO DE LAMARE'!M13+'E M BATAILLARD'!M13+'E M LEONARDO BOFF'!M13+'E M CLEMENTE FERNANDES'!M13+'E M DOM PEDRO DE ALCÂNTARA'!M13+'E M DUQUE DE CAXIAS'!M13+'E M LUIZ CARLOS SOARES'!M13+'ESCOLA MUNICIPAL GENERAL HEITOR'!M13+'E M JOÃO KOPKE'!M13+'ESCOLA MUNICIPAL ODETTE FONSECA'!M13+'E M GOVERNADOR MARCELLO ALENCAR'!M13+'E M PROF JOAQUIM DEISTER'!M13+'E M ROBERT KENNEDY'!M13+'E M ROTARY'!M13+'E M ROSALINA NICOLAY'!M13+'E M DE EDUCAÇÃO ESPECIAL SANTOS'!M13+'E M SOROPTIMISTA'!M13+'LICEU MUN PREFEITO CORDOLINO AM'!M13+'E M ANTÔNIO LEITE GARCIA'!M13+'ESCOLA MUNICIPAL JORGE AMADO'!M13+'ESCOLA MUNICIPAL LÚCIA DE ALMEI'!M13+'E M MAGDALENA TAGLIAFERRO'!M13+'ESCOLA MUNICIPAL MAJOR JÚLIO FR'!M13+'E M MARIETA GONÇALVES'!M13+'ESCOLA MUNICIPAL ODETTE YOUNG M'!M13+'E M FÁBRICA DO SABER'!M13+'ESCOLA MUNICIPAL PROFESSOR PAUL'!M13+'E M ROSEMIRA DE OLIVEIRA CAVALC'!M13+'E M AMÉLIA ANTUNES RABELLO'!M13+'ESCOLA MUNICIPAL AUGUSTO PUGNAL'!M13+'ESCOLA MUNICIPAL CELINA SCHECHN'!M13+'E M DARCY CORREA DA VEIGA'!M13+'E M DR PAULA BUARQUE'!M13+'E M DR THEODORO MACHADO'!M13+'E M ARNALDO DYCKERHOFF'!M13+'E M CARLOS CANEDO'!M13+'E M DR BARROS FRANCO'!M13+'E M MAJOR THEÓFILO DE CARVALHO'!M13+'E M TAQUARIL'!M13+'E M BEATRIZ ZALESKI'!M13+'E M ANTÔNIO JOSÉ DE LIMA'!M13+'E M FELIX WAN ERVEN DE BARROS'!M13+'ESCOLA MUNICIPAL HILDEBRANDO DE'!M13+'E M OSWALDO DA COSTA FRIAS'!M13+'E MZDA CARMEM NUNES MARTINS'!M13+'E MZDA AVELINO DE CARVALHO'!M13+'E M GERALDO VENTURA DIAS'!M13+'E M SALVADOR KLING'!M13+'E M PREFEITO JAMIL SABRÁ'!M13+'LICEU MUNICIPAL CARLOS CHAGAS F'!M13+'ESCOLA MUNICIPAL ANA MOHAMMAD'!M13+'ESCOLA MUNICIPAL ALTO INDEPENDÊ'!M13+'E M ALMIRANTE TAMANDARÉ'!M13+'ESCOLA MUNICIPALIZADA FREI ANIC'!M13+'E M PEDRO AMADO'!M13+'E M PROFª MARIA DA GLÓRIA QUEIR'!M13+'E M SEBASTIÃO LACERDA'!M13+'E M PROFESSOR FLÁVIO MACIEL'!M13+'ESCOLA MUNICIPAL PAULO SALDANHA'!M13+'ESCOLA MUNICIPAL PROFESSOR JOSE'!M13+'E M MONSENHOR CIRILLO CALAON'!M13+'E M AMÉRICO FERNANDES RIBEIRO'!M13+'E M PROFª JANDIRA PEIXOTO BORDI'!M13+'E M MONSENHOR JOÃO DE DEUS RODR'!M13+'E M DOM MANOEL PEDRO DA CUNHA C'!M13+'E M JOHANN NOEL'!M13+'E MZDA SANTA TEREZINHA'!M13+'E M PAPA JOÃO PAULO II'!M13+'E M STEFAN ZWEIG'!M13+'ESCOLA MUNICIPAL SENADOR MARIO '!M13+'E M DR RUBENS DE CASTRO BOMTEMP'!M13+'E M PAULO FREIRE'!M13+'E M PROFª MARIA CAMPOS DA SILVA'!M13+'E M HERCÍLIA HENRIQUES MORET'!M13+'ESCOLA MUNICIPALIZADA MOYSÉS FU'!M13+'CIEP BRIZOLÃO 474 MAESTRO GUERR'!M13+'CENTRO DE ENSINO PROF DARCY RIB'!M13+'CASA DA EDUCAÇÃO VISCONDE DE MA'!M13+'CENTRO DE REFERÊNCIA EM EDUCAÇÃ'!M13+'E M PROF NILTON COSTA PEREIRA D'!M13+'COLÉGIO GUNNAR VINGREN DE PETRÓ'!M13+'CENTRO DE REFERÊNCIA EM EDUC 2'!M13+'ESCOLA SANTA LUIZA DE MARILLAC'!M13+'CENTRO EDUCACIONAL COMUNIDADE S'!M13+'EDUCANDÁRIO TERRA SANTA'!M13+'ESCOLA GERMANO VALENTE'!M13+'ESCOLA DAS COMUNIDADES SANTO AN'!M13+'ESCOLA DOMÉSTICA NOSSA SENHORA '!M13+'ESCOLA PAROQUIAL NOSSA SENHO 3'!M13+'ESCOLA MONSENHOR GENTIL'!M13+'ESCOLA PAROQUIAL BOM JESUS'!M13+'ESCOLA PAROQUIAL CARLOS DEMIÁ'!M13+'ESCOLA PAROQUIAL NOSSA SENHO 2'!M13+'ESCOLA PAROQUIAL NOSSA SENHORA '!M13+'ESCOLA PAROQUIAL SÃO PEDRO DE A'!M13+'ESCOLA SANTA MARIA GORETTI'!M13+'ESCOLA SANTA RITA DE CASSIA'!M13+'ESCOLA SÃO CRISTÓVÃO'!M13+'ESCOLA PAROQUIAL SÃO FRANCISCO '!M13+'ESCOLA SAO FRANCISCO DE ASSIS'!M13+'ESCOLA SÃO JOÃO BATISTA'!M13+'ESCOLA SÃO JUDAS TADEU'!M13+'ESCOLA PAROQUIAL SÃO PIO X'!M13+'COLÉGIO ANGLICANO DE ARARAS'!M13+'COLEGIO VICENTINO PADRE CORRÊA'!M13+'ESCOLA NOSSA SENHORA DE FÁTIMA'!M13+'ESCOLA PAROQUIAL DA ALCOBAÇA'!M13+'ESCOLA PAROQUIAL DO LOTEAMENTO '!M13+'ESCOLA PAROQUIAL SANTA BERNADET'!M13+'ESCOLA SÃO GERALDO'!M13+'ESCOLA SANTO ANTÔNIO'!M13+'LICEU SÃO JOSÉ DE ITAIPAVA'!M13+'ESCOLA SÃO JOSÉ DO CAETITU'!M13+'CEI ASSOCIAÇÃO BENEFICENTE FAZE'!M13+'CEI CASA DA SOLIDARIEDADE DE NO'!M13+'CEI LULU MONTEIRO DE CASTRO'!M13+'CEI SÃO JOÃO BATISTA'!M13+'CEI SÃO FRANCISCO ASSIS'!M13+'CEI A SEMENTEIRA'!M13+'CEI FREI LEÃO'!M13+'CEI ROMANO CANAVESE'!M13+'CEI ANDRÉ VANZAN'!M13+'CEI CRIANÇA SANTA EDWIGES'!M13+'CENTRO DE EDUCAÇÃO INFANTIL IRM'!M13+'CEI PEDRAS BRANCAS'!M13+'CEI INÊS BELARMINO DE SOUZA'!M13+'CEI PROFª ROSANGELA DA SILVA LE'!M13+'CEI VILA SAO JOSE'!M13+'CEI MARIA THEREZA KLING DO VALL'!M13+'CEI DEISE ELOY GOMES'!M13+'CENTRO PAROQUIAL DE EDUCAÇÃO IN'!M13+'CEI VISTA ALEGRE'!M13+'CEI ALDEIA DA CRIANCA'!M13+'CEI DÉA LÚCIA CORDEIRO'!M13+'CENTRO DE EDUCAÇÃO INFANTIL CAR'!M13+'CEI IRMÃ SILVANA'!M13+'CEI MARLI SOARES FERREIRA NETTO'!M13+'CEI PROFª SONIA REGINA SCUDESE '!M13+'CEI DONA ESPERANZA DE BOURBON D'!M13+'CEI PREFEITO SÉRGIO FADEL'!M13+'CEI ANDRÉ REBOUÇAS'!M13+'CENTRO DE EDUCAÇÃO INFANTIL CHI'!M13+'CEI TIA ALICE'!M13+'CEI TERRA SANTA'!M13+'CEI JORGE ROLANDO DA SILVA'!M13+'CEI CARANGOLA'!M13+'CEI CÉLIA LÔBO PAULO'!M13+'CEI LIONS CLUBE DE PETRÓPOLIS'!M13+'CEI PROFª GRAÇA COSTA'!M13+'CEI ANGELA MARIA DA CONCEIÇÃO S'!M13+'CEI LUIZ MARCHIORI'!M13+'CEI PROFª MARLUCE DE SOUZA PEST'!M13+'CEI OLÍVIA MACHADO DA COSTA NOG'!M13+'CEI VILA IPANEMA'!M13+'CEI VILA LEOPOLDINA'!M13+'CENTRO DE EDUCAÇÃO INFANTIL CAS'!M13+'CEI PRIMEIRA INFÂNCIA'!M13+'CEI PROFª DORA KILLER'!M13+'CEI PROFª PATRÍCIA FERREIRA E S'!M13+'CEI DRA ZILDA ARNS NEUMANN'!M13+'CEI DENISE BESSA DE OLIVA MAYA'!M13+'CEI GIUSEPPE-NEVA VOLONTERIO'!M13+'CENTRO DE EDUCAÇÃO INFANTIL LOT'!M13+'CEI IRINEU MARINHO'!M13+'CEI OSWALDO CRUZ'!M13+'CEI ANA CAROLINA TELLES'!M13+'CEI JOSÉ GONÇALVES DA MOTTA'!M13+'CEI SAGRADA FAMÍLIA'!M13+'CEI PROFª HERMÍNIA MATHEUS'!M13+'CENTRO DE EDUCAÇÃO INFANTIL PRO'!M13+'CEI MONSENHOR PAULO ELIAS DAHER'!M13+'CEI DAGMAR ROLANDO DE OLIVEIRA'!M13+'CENTRO DE EDUCAÇÃO INFANTIL  2'!M13+'CEI BOA VISTA'!M13+'CEI NILO PEÇANHA'!M13+'CENTRO DE EDUCAÇÃO INFANTIL AUG'!M13+'CEI THEREZINHA DE JESUS LIMA'!M13+'CEI VIDEIRINHA'!M13+'CEI PROFª ADRIANA CONSTÂNCIO TR'!M13+'CENTRO DE EDUCAÇÃO INFANTIL SÉR'!M13+'CEI JURACI PINTO DO AMARAL DE C'!M13+'CEI NOSSA SENHORA DA GLÓRIA'!M13+'CEI ALTO INDEPENDÊNCIA'!M13+'CEI SÃO JOSÉ DAS OBLATAS DE NAZ'!M13+'CEI SANTO ANTÔNIO AGOSTINHO'!M13+'CEI SÃO CHARBEL'!M13+'ASSOCIAÇÃO DA CRECHE SÃO FRANCI'!M13+'CEI SÃO JOSÉ DO ITAMARATI'!M13+'ASSOCIAÇÃO RECREAR'!M13+'CRECHE-ESCOLA CASTELO SÃO MANOE'!M13+'CENTRO DE EDUCAÇÃO INFANTIL SÃO'!M13</f>
        <v/>
      </c>
      <c r="E9" s="207">
        <f>'Entrada de Dados'!G2</f>
        <v/>
      </c>
      <c r="F9" s="207">
        <f>D9*E9</f>
        <v/>
      </c>
    </row>
    <row r="10" ht="15" customHeight="1" s="163">
      <c r="A10" s="195">
        <f>'Entrada de Dados'!H5</f>
        <v/>
      </c>
      <c r="B10" s="206">
        <f>'Entrada de Dados'!H197</f>
        <v/>
      </c>
      <c r="C10" s="206">
        <f>'E M ROTARY'!D14+'E M DE EDUCAÇÃO ESPECIAL SANTOS'!D14+'LICEU MUN PREFEITO CORDOLINO AM'!D14+'E M PREFEITO JAMIL SABRÁ'!D14+'LICEU MUNICIPAL CARLOS CHAGAS F'!D14+'E M PAULO FREIRE'!D14+'E M PROFª MARIA CAMPOS DA SILVA'!D14+'CASA DA EDUCAÇÃO VISCONDE DE MA'!D14+'CENTRO DE REFERÊNCIA EM EDUCAÇÃ'!D14+'ESCOLA SANTA LUIZA DE MARILLAC'!D14+'ESCOLA DOMÉSTICA NOSSA SENHORA '!D14+'ESCOLA MONSENHOR GENTIL'!D14+'ESCOLA PAROQUIAL NOSSA SENHORA '!D14+'ESCOLA PAROQUIAL SÃO PEDRO DE A'!D14+'CEI TERRA SANTA'!D14+'CEI PRIMEIRA INFÂNCIA'!D14+'CEI PROFª PATRÍCIA FERREIRA E S'!D14+'CEI DRA ZILDA ARNS NEUMANN'!D14+'CENTRO DE EDUCAÇÃO INFANTIL PRO'!D14+'CEI MONSENHOR PAULO ELIAS DAHER'!D14+'COLÉGIO GUNNAR VINGREN DE PETRÓ'!D14+'EDUCANDÁRIO TERRA SANTA'!D14+'CEI LIONS CLUBE DE PETRÓPOLIS'!D14+'ESCOLA PAROQUIAL NOSSA SENHO 2'!D14+'CENTRO DE EDUCAÇÃO INFANTIL IRM'!D14+'E M LUIZ CARLOS SOARES'!D14+'ESCOLA GERMANO VALENTE'!D14+'ESCOLA PAROQUIAL NOSSA SENHO 3'!D14+'CEI JORGE ROLANDO DA SILVA'!D14+'E M CLEMENTE FERNANDES'!D14+'E M GERALDO VENTURA DIAS'!D14+'ESCOLA DAS COMUNIDADES SANTO AN'!D14+'CEI PROFª ROSANGELA DA SILVA LE'!D14+'CEI DEISE ELOY GOMES'!D14+'CEI PROFª SONIA REGINA SCUDESE '!D14+'CEI TIA ALICE'!D14+'E M BATAILLARD'!D14+'E M SOROPTIMISTA'!D14+'E M SALVADOR KLING'!D14+'ESCOLA MUNICIPALIZADA FREI ANIC'!D14+'ESCOLA SÃO JUDAS TADEU'!D14+'CEI PEDRAS BRANCAS'!D14+'CEI MARIA THEREZA KLING DO VALL'!D14+'CEI DONA ESPERANZA DE BOURBON D'!D14+'CEI GIUSEPPE-NEVA VOLONTERIO'!D14+'CENTRO DE EDUCAÇÃO INFANTIL SÃO'!D14+'E M LEONARDO BOFF'!D14+'ESCOLA MUNICIPAL GENERAL HEITOR'!D14+'E M JOHANN NOEL'!D14+'ESCOLA SANTA MARIA GORETTI'!D14+'ESCOLA SANTA RITA DE CASSIA'!D14+'ESCOLA SÃO JOÃO BATISTA'!D14+'CEI CASA DA SOLIDARIEDADE DE NO'!D14+'CEI A SEMENTEIRA'!D14+'CEI VILA SAO JOSE'!D14+'E M DR RUBENS DE CASTRO BOMTEMP'!D14+'CEI FREI LEÃO'!D14+'CEI SÃO JOÃO BATISTA'!D14+'CEI JURACI PINTO DO AMARAL DE C'!D14+'E M PEDRO AMADO'!D14+'E M ABELARDO DE LAMARE'!D14+'ESCOLA MUNICIPAL SENADOR MARIO '!D14+'ESCOLA PAROQUIAL SÃO PIO X'!D14+'CEI SÃO CHARBEL'!D14+'E M ROSALINA NICOLAY'!D14+'CEI INÊS BELARMINO DE SOUZA'!D14+'E M PROFª MARIA DA GLÓRIA QUEIR'!D14+'CENTRO EDUCACIONAL COMUNIDADE S'!D14+'CEI ROMANO CANAVESE'!D14+'CEI CÉLIA LÔBO PAULO'!D14+'CEI PROFª DORA KILLER'!D14+'CEI ALTO INDEPENDÊNCIA'!D14+'ESCOLA MUNICIPAL ALTO INDEPENDÊ'!D14+'E M PAPA JOÃO PAULO II'!D14+'CEI ANDRÉ REBOUÇAS'!D14+'CEI PROFª HERMÍNIA MATHEUS'!D14+'ESCOLA MUNICIPAL MAJOR JÚLIO FR'!D14+'E M ALMIRANTE TAMANDARÉ'!D14+'ESCOLA PAROQUIAL CARLOS DEMIÁ'!D14+'CENTRO PAROQUIAL DE EDUCAÇÃO IN'!D14+'CEI IRMÃ SILVANA'!D14+'CEI OLÍVIA MACHADO DA COSTA NOG'!D14+'E M GOVERNADOR MARCELLO ALENCAR'!D14+'E M PROFESSOR FLÁVIO MACIEL'!D14+'E M PROFª JANDIRA PEIXOTO BORDI'!D14+'E M STEFAN ZWEIG'!D14+'ESCOLA PAROQUIAL BOM JESUS'!D14+'CEI MARLI SOARES FERREIRA NETTO'!D14+'CENTRO DE EDUCAÇÃO INFANTIL CHI'!D14+'CEI VILA IPANEMA'!D14+'E M ROBERT KENNEDY'!D14+'ESCOLA MUNICIPAL ANA MOHAMMAD'!D14+'ESCOLA SÃO CRISTÓVÃO'!D14+'CEI DÉA LÚCIA CORDEIRO'!D14+'CEI SAGRADA FAMÍLIA'!D14+'CEI SÃO JOSÉ DAS OBLATAS DE NAZ'!D14+'ESCOLA MUNICIPAL JORGE AMADO'!D14+'E M FÁBRICA DO SABER'!D14+'CIEP BRIZOLÃO 474 MAESTRO GUERR'!D14+'CENTRO DE ENSINO PROF DARCY RIB'!D14+'CEI ANDRÉ VANZAN'!D14+'CENTRO DE EDUCAÇÃO INFANTIL CAR'!D14+'CEI BOA VISTA'!D14+'ASSOCIAÇÃO DA CRECHE SÃO FRANCI'!D14+'ESCOLA MUNICIPAL PAULO SALDANHA'!D14+'ESCOLA MUNICIPAL LÚCIA DE ALMEI'!D14+'E M DOM MANOEL PEDRO DA CUNHA C'!D14+'ESCOLA SÃO GERALDO'!D14+'CEI LULU MONTEIRO DE CASTRO'!D14+'CEI CARANGOLA'!D14+'ASSOCIAÇÃO RECREAR'!D14+'CENTRO DE EDUCAÇÃO INFANTIL CAS'!D14+'E M ROSEMIRA DE OLIVEIRA CAVALC'!D14+'E MZDA CARMEM NUNES MARTINS'!D14+'CEI SÃO JOSÉ DO ITAMARATI'!D14+'E M DUQUE DE CAXIAS'!D14+'CENTRO DE EDUCAÇÃO INFANTIL  2'!D14+'E M ANTÔNIO LEITE GARCIA'!D14+'ESCOLA PAROQUIAL DA ALCOBAÇA'!D14+'CENTRO DE EDUCAÇÃO INFANTIL LOT'!D14+'ESCOLA PAROQUIAL DO LOTEAMENTO '!D14+'E M PROF JOAQUIM DEISTER'!D14+'E M MARIETA GONÇALVES'!D14+'ESCOLA MUNICIPAL ODETTE YOUNG M'!D14+'ESCOLA MUNICIPAL PROFESSOR JOSE'!D14+'E M HERCÍLIA HENRIQUES MORET'!D14+'COLEGIO VICENTINO PADRE CORRÊA'!D14+'CEI PROFª MARLUCE DE SOUZA PEST'!D14+'CEI IRINEU MARINHO'!D14+'CEI DAGMAR ROLANDO DE OLIVEIRA'!D14+'CEI NOSSA SENHORA DA GLÓRIA'!D14+'E M PROF NILTON COSTA PEREIRA D'!D14+'CENTRO DE EDUCAÇÃO INFANTIL SÉR'!D14+'CEI SANTO ANTÔNIO AGOSTINHO'!D14+'CEI OSWALDO CRUZ'!D14+'E M MAGDALENA TAGLIAFERRO'!D14+'ESCOLA SÃO JOSÉ DO CAETITU'!D14+'CRECHE-ESCOLA CASTELO SÃO MANOE'!D14+'CEI THEREZINHA DE JESUS LIMA'!D14+'ESCOLA MUNICIPAL PROFESSOR PAUL'!D14+'COLÉGIO ANGLICANO DE ARARAS'!D14+'ESCOLA PAROQUIAL SANTA BERNADET'!D14+'CEI VISTA ALEGRE'!D14+'CEI DENISE BESSA DE OLIVA MAYA'!D14+'CEI VIDEIRINHA'!D14+'E M AMÉRICO FERNANDES RIBEIRO'!D14+'ESCOLA MUNICIPAL AUGUSTO PUGNAL'!D14+'ESCOLA MUNICIPAL CELINA SCHECHN'!D14+'E M DARCY CORREA DA VEIGA'!D14+'E M DR PAULA BUARQUE'!D14+'LICEU SÃO JOSÉ DE ITAIPAVA'!D14+'CEI LUIZ MARCHIORI'!D14+'CENTRO DE EDUCAÇÃO INFANTIL AUG'!D14+'CEI PROFª ADRIANA CONSTÂNCIO TR'!D14+'E M AMÉLIA ANTUNES RABELLO'!D14+'CEI PREFEITO SÉRGIO FADEL'!D14+'E M DR THEODORO MACHADO'!D14+'ESCOLA SANTO ANTÔNIO'!D14+'E M TAQUARIL'!D14+'E M MONSENHOR JOÃO DE DEUS RODR'!D14+'CENTRO DE REFERÊNCIA EM EDUC 2'!D14+'CEI PROFª GRAÇA COSTA'!D14+'CEI VILA LEOPOLDINA'!D14+'CEI NILO PEÇANHA'!D14+'E MZDA SANTA TEREZINHA'!D14+'CEI CRIANÇA SANTA EDWIGES'!D14+'E M ARNALDO DYCKERHOFF'!D14+'E M CARLOS CANEDO'!D14+'E M BEATRIZ ZALESKI'!D14+'E M ANTÔNIO JOSÉ DE LIMA'!D14+'E M FELIX WAN ERVEN DE BARROS'!D14+'ESCOLA MUNICIPAL HILDEBRANDO DE'!D14+'E M OSWALDO DA COSTA FRIAS'!D14+'E MZDA AVELINO DE CARVALHO'!D14+'ESCOLA MUNICIPALIZADA MOYSÉS FU'!D14+'CEI ANGELA MARIA DA CONCEIÇÃO S'!D14+'CEI JOSÉ GONÇALVES DA MOTTA'!D14+'E M DR BARROS FRANCO'!D14+'E M MAJOR THEÓFILO DE CARVALHO'!D14+'E M JOÃO KOPKE'!D14+'CEI ASSOCIAÇÃO BENEFICENTE FAZE'!D14+'ESCOLA SAO FRANCISCO DE ASSIS'!D14+'CEI SÃO FRANCISCO ASSIS'!D14+'CEI ALDEIA DA CRIANCA'!D14+'ESCOLA MUNICIPAL ODETTE FONSECA'!D14+'CEI ANA CAROLINA TELLES'!D14+'E M SEBASTIÃO LACERDA'!D14+'E M DOM PEDRO DE ALCÂNTARA'!D14+'ESCOLA NOSSA SENHORA DE FÁTIMA'!D14+'ESCOLA PAROQUIAL SÃO FRANCISCO '!D14+'E M MONSENHOR CIRILLO CALAON'!D14</f>
        <v/>
      </c>
      <c r="D10" s="206">
        <f>'E M ABELARDO DE LAMARE'!M14+'E M BATAILLARD'!M14+'E M LEONARDO BOFF'!M14+'E M CLEMENTE FERNANDES'!M14+'E M DOM PEDRO DE ALCÂNTARA'!M14+'E M DUQUE DE CAXIAS'!M14+'E M LUIZ CARLOS SOARES'!M14+'ESCOLA MUNICIPAL GENERAL HEITOR'!M14+'E M JOÃO KOPKE'!M14+'ESCOLA MUNICIPAL ODETTE FONSECA'!M14+'E M GOVERNADOR MARCELLO ALENCAR'!M14+'E M PROF JOAQUIM DEISTER'!M14+'E M ROBERT KENNEDY'!M14+'E M ROTARY'!M14+'E M ROSALINA NICOLAY'!M14+'E M DE EDUCAÇÃO ESPECIAL SANTOS'!M14+'E M SOROPTIMISTA'!M14+'LICEU MUN PREFEITO CORDOLINO AM'!M14+'E M ANTÔNIO LEITE GARCIA'!M14+'ESCOLA MUNICIPAL JORGE AMADO'!M14+'ESCOLA MUNICIPAL LÚCIA DE ALMEI'!M14+'E M MAGDALENA TAGLIAFERRO'!M14+'ESCOLA MUNICIPAL MAJOR JÚLIO FR'!M14+'E M MARIETA GONÇALVES'!M14+'ESCOLA MUNICIPAL ODETTE YOUNG M'!M14+'E M FÁBRICA DO SABER'!M14+'ESCOLA MUNICIPAL PROFESSOR PAUL'!M14+'E M ROSEMIRA DE OLIVEIRA CAVALC'!M14+'E M AMÉLIA ANTUNES RABELLO'!M14+'ESCOLA MUNICIPAL AUGUSTO PUGNAL'!M14+'ESCOLA MUNICIPAL CELINA SCHECHN'!M14+'E M DARCY CORREA DA VEIGA'!M14+'E M DR PAULA BUARQUE'!M14+'E M DR THEODORO MACHADO'!M14+'E M ARNALDO DYCKERHOFF'!M14+'E M CARLOS CANEDO'!M14+'E M DR BARROS FRANCO'!M14+'E M MAJOR THEÓFILO DE CARVALHO'!M14+'E M TAQUARIL'!M14+'E M BEATRIZ ZALESKI'!M14+'E M ANTÔNIO JOSÉ DE LIMA'!M14+'E M FELIX WAN ERVEN DE BARROS'!M14+'ESCOLA MUNICIPAL HILDEBRANDO DE'!M14+'E M OSWALDO DA COSTA FRIAS'!M14+'E MZDA CARMEM NUNES MARTINS'!M14+'E MZDA AVELINO DE CARVALHO'!M14+'E M GERALDO VENTURA DIAS'!M14+'E M SALVADOR KLING'!M14+'E M PREFEITO JAMIL SABRÁ'!M14+'LICEU MUNICIPAL CARLOS CHAGAS F'!M14+'ESCOLA MUNICIPAL ANA MOHAMMAD'!M14+'ESCOLA MUNICIPAL ALTO INDEPENDÊ'!M14+'E M ALMIRANTE TAMANDARÉ'!M14+'ESCOLA MUNICIPALIZADA FREI ANIC'!M14+'E M PEDRO AMADO'!M14+'E M PROFª MARIA DA GLÓRIA QUEIR'!M14+'E M SEBASTIÃO LACERDA'!M14+'E M PROFESSOR FLÁVIO MACIEL'!M14+'ESCOLA MUNICIPAL PAULO SALDANHA'!M14+'ESCOLA MUNICIPAL PROFESSOR JOSE'!M14+'E M MONSENHOR CIRILLO CALAON'!M14+'E M AMÉRICO FERNANDES RIBEIRO'!M14+'E M PROFª JANDIRA PEIXOTO BORDI'!M14+'E M MONSENHOR JOÃO DE DEUS RODR'!M14+'E M DOM MANOEL PEDRO DA CUNHA C'!M14+'E M JOHANN NOEL'!M14+'E MZDA SANTA TEREZINHA'!M14+'E M PAPA JOÃO PAULO II'!M14+'E M STEFAN ZWEIG'!M14+'ESCOLA MUNICIPAL SENADOR MARIO '!M14+'E M DR RUBENS DE CASTRO BOMTEMP'!M14+'E M PAULO FREIRE'!M14+'E M PROFª MARIA CAMPOS DA SILVA'!M14+'E M HERCÍLIA HENRIQUES MORET'!M14+'ESCOLA MUNICIPALIZADA MOYSÉS FU'!M14+'CIEP BRIZOLÃO 474 MAESTRO GUERR'!M14+'CENTRO DE ENSINO PROF DARCY RIB'!M14+'CASA DA EDUCAÇÃO VISCONDE DE MA'!M14+'CENTRO DE REFERÊNCIA EM EDUCAÇÃ'!M14+'E M PROF NILTON COSTA PEREIRA D'!M14+'COLÉGIO GUNNAR VINGREN DE PETRÓ'!M14+'CENTRO DE REFERÊNCIA EM EDUC 2'!M14+'ESCOLA SANTA LUIZA DE MARILLAC'!M14+'CENTRO EDUCACIONAL COMUNIDADE S'!M14+'EDUCANDÁRIO TERRA SANTA'!M14+'ESCOLA GERMANO VALENTE'!M14+'ESCOLA DAS COMUNIDADES SANTO AN'!M14+'ESCOLA DOMÉSTICA NOSSA SENHORA '!M14+'ESCOLA PAROQUIAL NOSSA SENHO 3'!M14+'ESCOLA MONSENHOR GENTIL'!M14+'ESCOLA PAROQUIAL BOM JESUS'!M14+'ESCOLA PAROQUIAL CARLOS DEMIÁ'!M14+'ESCOLA PAROQUIAL NOSSA SENHO 2'!M14+'ESCOLA PAROQUIAL NOSSA SENHORA '!M14+'ESCOLA PAROQUIAL SÃO PEDRO DE A'!M14+'ESCOLA SANTA MARIA GORETTI'!M14+'ESCOLA SANTA RITA DE CASSIA'!M14+'ESCOLA SÃO CRISTÓVÃO'!M14+'ESCOLA PAROQUIAL SÃO FRANCISCO '!M14+'ESCOLA SAO FRANCISCO DE ASSIS'!M14+'ESCOLA SÃO JOÃO BATISTA'!M14+'ESCOLA SÃO JUDAS TADEU'!M14+'ESCOLA PAROQUIAL SÃO PIO X'!M14+'COLÉGIO ANGLICANO DE ARARAS'!M14+'COLEGIO VICENTINO PADRE CORRÊA'!M14+'ESCOLA NOSSA SENHORA DE FÁTIMA'!M14+'ESCOLA PAROQUIAL DA ALCOBAÇA'!M14+'ESCOLA PAROQUIAL DO LOTEAMENTO '!M14+'ESCOLA PAROQUIAL SANTA BERNADET'!M14+'ESCOLA SÃO GERALDO'!M14+'ESCOLA SANTO ANTÔNIO'!M14+'LICEU SÃO JOSÉ DE ITAIPAVA'!M14+'ESCOLA SÃO JOSÉ DO CAETITU'!M14+'CEI ASSOCIAÇÃO BENEFICENTE FAZE'!M14+'CEI CASA DA SOLIDARIEDADE DE NO'!M14+'CEI LULU MONTEIRO DE CASTRO'!M14+'CEI SÃO JOÃO BATISTA'!M14+'CEI SÃO FRANCISCO ASSIS'!M14+'CEI A SEMENTEIRA'!M14+'CEI FREI LEÃO'!M14+'CEI ROMANO CANAVESE'!M14+'CEI ANDRÉ VANZAN'!M14+'CEI CRIANÇA SANTA EDWIGES'!M14+'CENTRO DE EDUCAÇÃO INFANTIL IRM'!M14+'CEI PEDRAS BRANCAS'!M14+'CEI INÊS BELARMINO DE SOUZA'!M14+'CEI PROFª ROSANGELA DA SILVA LE'!M14+'CEI VILA SAO JOSE'!M14+'CEI MARIA THEREZA KLING DO VALL'!M14+'CEI DEISE ELOY GOMES'!M14+'CENTRO PAROQUIAL DE EDUCAÇÃO IN'!M14+'CEI VISTA ALEGRE'!M14+'CEI ALDEIA DA CRIANCA'!M14+'CEI DÉA LÚCIA CORDEIRO'!M14+'CENTRO DE EDUCAÇÃO INFANTIL CAR'!M14+'CEI IRMÃ SILVANA'!M14+'CEI MARLI SOARES FERREIRA NETTO'!M14+'CEI PROFª SONIA REGINA SCUDESE '!M14+'CEI DONA ESPERANZA DE BOURBON D'!M14+'CEI PREFEITO SÉRGIO FADEL'!M14+'CEI ANDRÉ REBOUÇAS'!M14+'CENTRO DE EDUCAÇÃO INFANTIL CHI'!M14+'CEI TIA ALICE'!M14+'CEI TERRA SANTA'!M14+'CEI JORGE ROLANDO DA SILVA'!M14+'CEI CARANGOLA'!M14+'CEI CÉLIA LÔBO PAULO'!M14+'CEI LIONS CLUBE DE PETRÓPOLIS'!M14+'CEI PROFª GRAÇA COSTA'!M14+'CEI ANGELA MARIA DA CONCEIÇÃO S'!M14+'CEI LUIZ MARCHIORI'!M14+'CEI PROFª MARLUCE DE SOUZA PEST'!M14+'CEI OLÍVIA MACHADO DA COSTA NOG'!M14+'CEI VILA IPANEMA'!M14+'CEI VILA LEOPOLDINA'!M14+'CENTRO DE EDUCAÇÃO INFANTIL CAS'!M14+'CEI PRIMEIRA INFÂNCIA'!M14+'CEI PROFª DORA KILLER'!M14+'CEI PROFª PATRÍCIA FERREIRA E S'!M14+'CEI DRA ZILDA ARNS NEUMANN'!M14+'CEI DENISE BESSA DE OLIVA MAYA'!M14+'CEI GIUSEPPE-NEVA VOLONTERIO'!M14+'CENTRO DE EDUCAÇÃO INFANTIL LOT'!M14+'CEI IRINEU MARINHO'!M14+'CEI OSWALDO CRUZ'!M14+'CEI ANA CAROLINA TELLES'!M14+'CEI JOSÉ GONÇALVES DA MOTTA'!M14+'CEI SAGRADA FAMÍLIA'!M14+'CEI PROFª HERMÍNIA MATHEUS'!M14+'CENTRO DE EDUCAÇÃO INFANTIL PRO'!M14+'CEI MONSENHOR PAULO ELIAS DAHER'!M14+'CEI DAGMAR ROLANDO DE OLIVEIRA'!M14+'CENTRO DE EDUCAÇÃO INFANTIL  2'!M14+'CEI BOA VISTA'!M14+'CEI NILO PEÇANHA'!M14+'CENTRO DE EDUCAÇÃO INFANTIL AUG'!M14+'CEI THEREZINHA DE JESUS LIMA'!M14+'CEI VIDEIRINHA'!M14+'CEI PROFª ADRIANA CONSTÂNCIO TR'!M14+'CENTRO DE EDUCAÇÃO INFANTIL SÉR'!M14+'CEI JURACI PINTO DO AMARAL DE C'!M14+'CEI NOSSA SENHORA DA GLÓRIA'!M14+'CEI ALTO INDEPENDÊNCIA'!M14+'CEI SÃO JOSÉ DAS OBLATAS DE NAZ'!M14+'CEI SANTO ANTÔNIO AGOSTINHO'!M14+'CEI SÃO CHARBEL'!M14+'ASSOCIAÇÃO DA CRECHE SÃO FRANCI'!M14+'CEI SÃO JOSÉ DO ITAMARATI'!M14+'ASSOCIAÇÃO RECREAR'!M14+'CRECHE-ESCOLA CASTELO SÃO MANOE'!M14+'CENTRO DE EDUCAÇÃO INFANTIL SÃO'!M14</f>
        <v/>
      </c>
      <c r="E10" s="207">
        <f>'Entrada de Dados'!H2</f>
        <v/>
      </c>
      <c r="F10" s="207">
        <f>D10*E10</f>
        <v/>
      </c>
    </row>
    <row r="11" ht="15" customHeight="1" s="163">
      <c r="A11" s="195">
        <f>'Entrada de Dados'!I5</f>
        <v/>
      </c>
      <c r="B11" s="206">
        <f>'Entrada de Dados'!I197</f>
        <v/>
      </c>
      <c r="C11" s="206">
        <f>'E M ROTARY'!D15+'E M DE EDUCAÇÃO ESPECIAL SANTOS'!D15+'LICEU MUN PREFEITO CORDOLINO AM'!D15+'E M PREFEITO JAMIL SABRÁ'!D15+'LICEU MUNICIPAL CARLOS CHAGAS F'!D15+'E M PAULO FREIRE'!D15+'E M PROFª MARIA CAMPOS DA SILVA'!D15+'CASA DA EDUCAÇÃO VISCONDE DE MA'!D15+'CENTRO DE REFERÊNCIA EM EDUCAÇÃ'!D15+'ESCOLA SANTA LUIZA DE MARILLAC'!D15+'ESCOLA DOMÉSTICA NOSSA SENHORA '!D15+'ESCOLA MONSENHOR GENTIL'!D15+'ESCOLA PAROQUIAL NOSSA SENHORA '!D15+'ESCOLA PAROQUIAL SÃO PEDRO DE A'!D15+'CEI TERRA SANTA'!D15+'CEI PRIMEIRA INFÂNCIA'!D15+'CEI PROFª PATRÍCIA FERREIRA E S'!D15+'CEI DRA ZILDA ARNS NEUMANN'!D15+'CENTRO DE EDUCAÇÃO INFANTIL PRO'!D15+'CEI MONSENHOR PAULO ELIAS DAHER'!D15+'COLÉGIO GUNNAR VINGREN DE PETRÓ'!D15+'EDUCANDÁRIO TERRA SANTA'!D15+'CEI LIONS CLUBE DE PETRÓPOLIS'!D15+'ESCOLA PAROQUIAL NOSSA SENHO 2'!D15+'CENTRO DE EDUCAÇÃO INFANTIL IRM'!D15+'E M LUIZ CARLOS SOARES'!D15+'ESCOLA GERMANO VALENTE'!D15+'ESCOLA PAROQUIAL NOSSA SENHO 3'!D15+'CEI JORGE ROLANDO DA SILVA'!D15+'E M CLEMENTE FERNANDES'!D15+'E M GERALDO VENTURA DIAS'!D15+'ESCOLA DAS COMUNIDADES SANTO AN'!D15+'CEI PROFª ROSANGELA DA SILVA LE'!D15+'CEI DEISE ELOY GOMES'!D15+'CEI PROFª SONIA REGINA SCUDESE '!D15+'CEI TIA ALICE'!D15+'E M BATAILLARD'!D15+'E M SOROPTIMISTA'!D15+'E M SALVADOR KLING'!D15+'ESCOLA MUNICIPALIZADA FREI ANIC'!D15+'ESCOLA SÃO JUDAS TADEU'!D15+'CEI PEDRAS BRANCAS'!D15+'CEI MARIA THEREZA KLING DO VALL'!D15+'CEI DONA ESPERANZA DE BOURBON D'!D15+'CEI GIUSEPPE-NEVA VOLONTERIO'!D15+'CENTRO DE EDUCAÇÃO INFANTIL SÃO'!D15+'E M LEONARDO BOFF'!D15+'ESCOLA MUNICIPAL GENERAL HEITOR'!D15+'E M JOHANN NOEL'!D15+'ESCOLA SANTA MARIA GORETTI'!D15+'ESCOLA SANTA RITA DE CASSIA'!D15+'ESCOLA SÃO JOÃO BATISTA'!D15+'CEI CASA DA SOLIDARIEDADE DE NO'!D15+'CEI A SEMENTEIRA'!D15+'CEI VILA SAO JOSE'!D15+'E M DR RUBENS DE CASTRO BOMTEMP'!D15+'CEI FREI LEÃO'!D15+'CEI SÃO JOÃO BATISTA'!D15+'CEI JURACI PINTO DO AMARAL DE C'!D15+'E M PEDRO AMADO'!D15+'E M ABELARDO DE LAMARE'!D15+'ESCOLA MUNICIPAL SENADOR MARIO '!D15+'ESCOLA PAROQUIAL SÃO PIO X'!D15+'CEI SÃO CHARBEL'!D15+'E M ROSALINA NICOLAY'!D15+'CEI INÊS BELARMINO DE SOUZA'!D15+'E M PROFª MARIA DA GLÓRIA QUEIR'!D15+'CENTRO EDUCACIONAL COMUNIDADE S'!D15+'CEI ROMANO CANAVESE'!D15+'CEI CÉLIA LÔBO PAULO'!D15+'CEI PROFª DORA KILLER'!D15+'CEI ALTO INDEPENDÊNCIA'!D15+'ESCOLA MUNICIPAL ALTO INDEPENDÊ'!D15+'E M PAPA JOÃO PAULO II'!D15+'CEI ANDRÉ REBOUÇAS'!D15+'CEI PROFª HERMÍNIA MATHEUS'!D15+'ESCOLA MUNICIPAL MAJOR JÚLIO FR'!D15+'E M ALMIRANTE TAMANDARÉ'!D15+'ESCOLA PAROQUIAL CARLOS DEMIÁ'!D15+'CENTRO PAROQUIAL DE EDUCAÇÃO IN'!D15+'CEI IRMÃ SILVANA'!D15+'CEI OLÍVIA MACHADO DA COSTA NOG'!D15+'E M GOVERNADOR MARCELLO ALENCAR'!D15+'E M PROFESSOR FLÁVIO MACIEL'!D15+'E M PROFª JANDIRA PEIXOTO BORDI'!D15+'E M STEFAN ZWEIG'!D15+'ESCOLA PAROQUIAL BOM JESUS'!D15+'CEI MARLI SOARES FERREIRA NETTO'!D15+'CENTRO DE EDUCAÇÃO INFANTIL CHI'!D15+'CEI VILA IPANEMA'!D15+'E M ROBERT KENNEDY'!D15+'ESCOLA MUNICIPAL ANA MOHAMMAD'!D15+'ESCOLA SÃO CRISTÓVÃO'!D15+'CEI DÉA LÚCIA CORDEIRO'!D15+'CEI SAGRADA FAMÍLIA'!D15+'CEI SÃO JOSÉ DAS OBLATAS DE NAZ'!D15+'ESCOLA MUNICIPAL JORGE AMADO'!D15+'E M FÁBRICA DO SABER'!D15+'CIEP BRIZOLÃO 474 MAESTRO GUERR'!D15+'CENTRO DE ENSINO PROF DARCY RIB'!D15+'CEI ANDRÉ VANZAN'!D15+'CENTRO DE EDUCAÇÃO INFANTIL CAR'!D15+'CEI BOA VISTA'!D15+'ASSOCIAÇÃO DA CRECHE SÃO FRANCI'!D15+'ESCOLA MUNICIPAL PAULO SALDANHA'!D15+'ESCOLA MUNICIPAL LÚCIA DE ALMEI'!D15+'E M DOM MANOEL PEDRO DA CUNHA C'!D15+'ESCOLA SÃO GERALDO'!D15+'CEI LULU MONTEIRO DE CASTRO'!D15+'CEI CARANGOLA'!D15+'ASSOCIAÇÃO RECREAR'!D15+'CENTRO DE EDUCAÇÃO INFANTIL CAS'!D15+'E M ROSEMIRA DE OLIVEIRA CAVALC'!D15+'E MZDA CARMEM NUNES MARTINS'!D15+'CEI SÃO JOSÉ DO ITAMARATI'!D15+'E M DUQUE DE CAXIAS'!D15+'CENTRO DE EDUCAÇÃO INFANTIL  2'!D15+'E M ANTÔNIO LEITE GARCIA'!D15+'ESCOLA PAROQUIAL DA ALCOBAÇA'!D15+'CENTRO DE EDUCAÇÃO INFANTIL LOT'!D15+'ESCOLA PAROQUIAL DO LOTEAMENTO '!D15+'E M PROF JOAQUIM DEISTER'!D15+'E M MARIETA GONÇALVES'!D15+'ESCOLA MUNICIPAL ODETTE YOUNG M'!D15+'ESCOLA MUNICIPAL PROFESSOR JOSE'!D15+'E M HERCÍLIA HENRIQUES MORET'!D15+'COLEGIO VICENTINO PADRE CORRÊA'!D15+'CEI PROFª MARLUCE DE SOUZA PEST'!D15+'CEI IRINEU MARINHO'!D15+'CEI DAGMAR ROLANDO DE OLIVEIRA'!D15+'CEI NOSSA SENHORA DA GLÓRIA'!D15+'E M PROF NILTON COSTA PEREIRA D'!D15+'CENTRO DE EDUCAÇÃO INFANTIL SÉR'!D15+'CEI SANTO ANTÔNIO AGOSTINHO'!D15+'CEI OSWALDO CRUZ'!D15+'E M MAGDALENA TAGLIAFERRO'!D15+'ESCOLA SÃO JOSÉ DO CAETITU'!D15+'CRECHE-ESCOLA CASTELO SÃO MANOE'!D15+'CEI THEREZINHA DE JESUS LIMA'!D15+'ESCOLA MUNICIPAL PROFESSOR PAUL'!D15+'COLÉGIO ANGLICANO DE ARARAS'!D15+'ESCOLA PAROQUIAL SANTA BERNADET'!D15+'CEI VISTA ALEGRE'!D15+'CEI DENISE BESSA DE OLIVA MAYA'!D15+'CEI VIDEIRINHA'!D15+'E M AMÉRICO FERNANDES RIBEIRO'!D15+'ESCOLA MUNICIPAL AUGUSTO PUGNAL'!D15+'ESCOLA MUNICIPAL CELINA SCHECHN'!D15+'E M DARCY CORREA DA VEIGA'!D15+'E M DR PAULA BUARQUE'!D15+'LICEU SÃO JOSÉ DE ITAIPAVA'!D15+'CEI LUIZ MARCHIORI'!D15+'CENTRO DE EDUCAÇÃO INFANTIL AUG'!D15+'CEI PROFª ADRIANA CONSTÂNCIO TR'!D15+'E M AMÉLIA ANTUNES RABELLO'!D15+'CEI PREFEITO SÉRGIO FADEL'!D15+'E M DR THEODORO MACHADO'!D15+'ESCOLA SANTO ANTÔNIO'!D15+'E M TAQUARIL'!D15+'E M MONSENHOR JOÃO DE DEUS RODR'!D15+'CENTRO DE REFERÊNCIA EM EDUC 2'!D15+'CEI PROFª GRAÇA COSTA'!D15+'CEI VILA LEOPOLDINA'!D15+'CEI NILO PEÇANHA'!D15+'E MZDA SANTA TEREZINHA'!D15+'CEI CRIANÇA SANTA EDWIGES'!D15+'E M ARNALDO DYCKERHOFF'!D15+'E M CARLOS CANEDO'!D15+'E M BEATRIZ ZALESKI'!D15+'E M ANTÔNIO JOSÉ DE LIMA'!D15+'E M FELIX WAN ERVEN DE BARROS'!D15+'ESCOLA MUNICIPAL HILDEBRANDO DE'!D15+'E M OSWALDO DA COSTA FRIAS'!D15+'E MZDA AVELINO DE CARVALHO'!D15+'ESCOLA MUNICIPALIZADA MOYSÉS FU'!D15+'CEI ANGELA MARIA DA CONCEIÇÃO S'!D15+'CEI JOSÉ GONÇALVES DA MOTTA'!D15+'E M DR BARROS FRANCO'!D15+'E M MAJOR THEÓFILO DE CARVALHO'!D15+'E M JOÃO KOPKE'!D15+'CEI ASSOCIAÇÃO BENEFICENTE FAZE'!D15+'ESCOLA SAO FRANCISCO DE ASSIS'!D15+'CEI SÃO FRANCISCO ASSIS'!D15+'CEI ALDEIA DA CRIANCA'!D15+'ESCOLA MUNICIPAL ODETTE FONSECA'!D15+'CEI ANA CAROLINA TELLES'!D15+'E M SEBASTIÃO LACERDA'!D15+'E M DOM PEDRO DE ALCÂNTARA'!D15+'ESCOLA NOSSA SENHORA DE FÁTIMA'!D15+'ESCOLA PAROQUIAL SÃO FRANCISCO '!D15+'E M MONSENHOR CIRILLO CALAON'!D15</f>
        <v/>
      </c>
      <c r="D11" s="206">
        <f>'E M ABELARDO DE LAMARE'!M15+'E M BATAILLARD'!M15+'E M LEONARDO BOFF'!M15+'E M CLEMENTE FERNANDES'!M15+'E M DOM PEDRO DE ALCÂNTARA'!M15+'E M DUQUE DE CAXIAS'!M15+'E M LUIZ CARLOS SOARES'!M15+'ESCOLA MUNICIPAL GENERAL HEITOR'!M15+'E M JOÃO KOPKE'!M15+'ESCOLA MUNICIPAL ODETTE FONSECA'!M15+'E M GOVERNADOR MARCELLO ALENCAR'!M15+'E M PROF JOAQUIM DEISTER'!M15+'E M ROBERT KENNEDY'!M15+'E M ROTARY'!M15+'E M ROSALINA NICOLAY'!M15+'E M DE EDUCAÇÃO ESPECIAL SANTOS'!M15+'E M SOROPTIMISTA'!M15+'LICEU MUN PREFEITO CORDOLINO AM'!M15+'E M ANTÔNIO LEITE GARCIA'!M15+'ESCOLA MUNICIPAL JORGE AMADO'!M15+'ESCOLA MUNICIPAL LÚCIA DE ALMEI'!M15+'E M MAGDALENA TAGLIAFERRO'!M15+'ESCOLA MUNICIPAL MAJOR JÚLIO FR'!M15+'E M MARIETA GONÇALVES'!M15+'ESCOLA MUNICIPAL ODETTE YOUNG M'!M15+'E M FÁBRICA DO SABER'!M15+'ESCOLA MUNICIPAL PROFESSOR PAUL'!M15+'E M ROSEMIRA DE OLIVEIRA CAVALC'!M15+'E M AMÉLIA ANTUNES RABELLO'!M15+'ESCOLA MUNICIPAL AUGUSTO PUGNAL'!M15+'ESCOLA MUNICIPAL CELINA SCHECHN'!M15+'E M DARCY CORREA DA VEIGA'!M15+'E M DR PAULA BUARQUE'!M15+'E M DR THEODORO MACHADO'!M15+'E M ARNALDO DYCKERHOFF'!M15+'E M CARLOS CANEDO'!M15+'E M DR BARROS FRANCO'!M15+'E M MAJOR THEÓFILO DE CARVALHO'!M15+'E M TAQUARIL'!M15+'E M BEATRIZ ZALESKI'!M15+'E M ANTÔNIO JOSÉ DE LIMA'!M15+'E M FELIX WAN ERVEN DE BARROS'!M15+'ESCOLA MUNICIPAL HILDEBRANDO DE'!M15+'E M OSWALDO DA COSTA FRIAS'!M15+'E MZDA CARMEM NUNES MARTINS'!M15+'E MZDA AVELINO DE CARVALHO'!M15+'E M GERALDO VENTURA DIAS'!M15+'E M SALVADOR KLING'!M15+'E M PREFEITO JAMIL SABRÁ'!M15+'LICEU MUNICIPAL CARLOS CHAGAS F'!M15+'ESCOLA MUNICIPAL ANA MOHAMMAD'!M15+'ESCOLA MUNICIPAL ALTO INDEPENDÊ'!M15+'E M ALMIRANTE TAMANDARÉ'!M15+'ESCOLA MUNICIPALIZADA FREI ANIC'!M15+'E M PEDRO AMADO'!M15+'E M PROFª MARIA DA GLÓRIA QUEIR'!M15+'E M SEBASTIÃO LACERDA'!M15+'E M PROFESSOR FLÁVIO MACIEL'!M15+'ESCOLA MUNICIPAL PAULO SALDANHA'!M15+'ESCOLA MUNICIPAL PROFESSOR JOSE'!M15+'E M MONSENHOR CIRILLO CALAON'!M15+'E M AMÉRICO FERNANDES RIBEIRO'!M15+'E M PROFª JANDIRA PEIXOTO BORDI'!M15+'E M MONSENHOR JOÃO DE DEUS RODR'!M15+'E M DOM MANOEL PEDRO DA CUNHA C'!M15+'E M JOHANN NOEL'!M15+'E MZDA SANTA TEREZINHA'!M15+'E M PAPA JOÃO PAULO II'!M15+'E M STEFAN ZWEIG'!M15+'ESCOLA MUNICIPAL SENADOR MARIO '!M15+'E M DR RUBENS DE CASTRO BOMTEMP'!M15+'E M PAULO FREIRE'!M15+'E M PROFª MARIA CAMPOS DA SILVA'!M15+'E M HERCÍLIA HENRIQUES MORET'!M15+'ESCOLA MUNICIPALIZADA MOYSÉS FU'!M15+'CIEP BRIZOLÃO 474 MAESTRO GUERR'!M15+'CENTRO DE ENSINO PROF DARCY RIB'!M15+'CASA DA EDUCAÇÃO VISCONDE DE MA'!M15+'CENTRO DE REFERÊNCIA EM EDUCAÇÃ'!M15+'E M PROF NILTON COSTA PEREIRA D'!M15+'COLÉGIO GUNNAR VINGREN DE PETRÓ'!M15+'CENTRO DE REFERÊNCIA EM EDUC 2'!M15+'ESCOLA SANTA LUIZA DE MARILLAC'!M15+'CENTRO EDUCACIONAL COMUNIDADE S'!M15+'EDUCANDÁRIO TERRA SANTA'!M15+'ESCOLA GERMANO VALENTE'!M15+'ESCOLA DAS COMUNIDADES SANTO AN'!M15+'ESCOLA DOMÉSTICA NOSSA SENHORA '!M15+'ESCOLA PAROQUIAL NOSSA SENHO 3'!M15+'ESCOLA MONSENHOR GENTIL'!M15+'ESCOLA PAROQUIAL BOM JESUS'!M15+'ESCOLA PAROQUIAL CARLOS DEMIÁ'!M15+'ESCOLA PAROQUIAL NOSSA SENHO 2'!M15+'ESCOLA PAROQUIAL NOSSA SENHORA '!M15+'ESCOLA PAROQUIAL SÃO PEDRO DE A'!M15+'ESCOLA SANTA MARIA GORETTI'!M15+'ESCOLA SANTA RITA DE CASSIA'!M15+'ESCOLA SÃO CRISTÓVÃO'!M15+'ESCOLA PAROQUIAL SÃO FRANCISCO '!M15+'ESCOLA SAO FRANCISCO DE ASSIS'!M15+'ESCOLA SÃO JOÃO BATISTA'!M15+'ESCOLA SÃO JUDAS TADEU'!M15+'ESCOLA PAROQUIAL SÃO PIO X'!M15+'COLÉGIO ANGLICANO DE ARARAS'!M15+'COLEGIO VICENTINO PADRE CORRÊA'!M15+'ESCOLA NOSSA SENHORA DE FÁTIMA'!M15+'ESCOLA PAROQUIAL DA ALCOBAÇA'!M15+'ESCOLA PAROQUIAL DO LOTEAMENTO '!M15+'ESCOLA PAROQUIAL SANTA BERNADET'!M15+'ESCOLA SÃO GERALDO'!M15+'ESCOLA SANTO ANTÔNIO'!M15+'LICEU SÃO JOSÉ DE ITAIPAVA'!M15+'ESCOLA SÃO JOSÉ DO CAETITU'!M15+'CEI ASSOCIAÇÃO BENEFICENTE FAZE'!M15+'CEI CASA DA SOLIDARIEDADE DE NO'!M15+'CEI LULU MONTEIRO DE CASTRO'!M15+'CEI SÃO JOÃO BATISTA'!M15+'CEI SÃO FRANCISCO ASSIS'!M15+'CEI A SEMENTEIRA'!M15+'CEI FREI LEÃO'!M15+'CEI ROMANO CANAVESE'!M15+'CEI ANDRÉ VANZAN'!M15+'CEI CRIANÇA SANTA EDWIGES'!M15+'CENTRO DE EDUCAÇÃO INFANTIL IRM'!M15+'CEI PEDRAS BRANCAS'!M15+'CEI INÊS BELARMINO DE SOUZA'!M15+'CEI PROFª ROSANGELA DA SILVA LE'!M15+'CEI VILA SAO JOSE'!M15+'CEI MARIA THEREZA KLING DO VALL'!M15+'CEI DEISE ELOY GOMES'!M15+'CENTRO PAROQUIAL DE EDUCAÇÃO IN'!M15+'CEI VISTA ALEGRE'!M15+'CEI ALDEIA DA CRIANCA'!M15+'CEI DÉA LÚCIA CORDEIRO'!M15+'CENTRO DE EDUCAÇÃO INFANTIL CAR'!M15+'CEI IRMÃ SILVANA'!M15+'CEI MARLI SOARES FERREIRA NETTO'!M15+'CEI PROFª SONIA REGINA SCUDESE '!M15+'CEI DONA ESPERANZA DE BOURBON D'!M15+'CEI PREFEITO SÉRGIO FADEL'!M15+'CEI ANDRÉ REBOUÇAS'!M15+'CENTRO DE EDUCAÇÃO INFANTIL CHI'!M15+'CEI TIA ALICE'!M15+'CEI TERRA SANTA'!M15+'CEI JORGE ROLANDO DA SILVA'!M15+'CEI CARANGOLA'!M15+'CEI CÉLIA LÔBO PAULO'!M15+'CEI LIONS CLUBE DE PETRÓPOLIS'!M15+'CEI PROFª GRAÇA COSTA'!M15+'CEI ANGELA MARIA DA CONCEIÇÃO S'!M15+'CEI LUIZ MARCHIORI'!M15+'CEI PROFª MARLUCE DE SOUZA PEST'!M15+'CEI OLÍVIA MACHADO DA COSTA NOG'!M15+'CEI VILA IPANEMA'!M15+'CEI VILA LEOPOLDINA'!M15+'CENTRO DE EDUCAÇÃO INFANTIL CAS'!M15+'CEI PRIMEIRA INFÂNCIA'!M15+'CEI PROFª DORA KILLER'!M15+'CEI PROFª PATRÍCIA FERREIRA E S'!M15+'CEI DRA ZILDA ARNS NEUMANN'!M15+'CEI DENISE BESSA DE OLIVA MAYA'!M15+'CEI GIUSEPPE-NEVA VOLONTERIO'!M15+'CENTRO DE EDUCAÇÃO INFANTIL LOT'!M15+'CEI IRINEU MARINHO'!M15+'CEI OSWALDO CRUZ'!M15+'CEI ANA CAROLINA TELLES'!M15+'CEI JOSÉ GONÇALVES DA MOTTA'!M15+'CEI SAGRADA FAMÍLIA'!M15+'CEI PROFª HERMÍNIA MATHEUS'!M15+'CENTRO DE EDUCAÇÃO INFANTIL PRO'!M15+'CEI MONSENHOR PAULO ELIAS DAHER'!M15+'CEI DAGMAR ROLANDO DE OLIVEIRA'!M15+'CENTRO DE EDUCAÇÃO INFANTIL  2'!M15+'CEI BOA VISTA'!M15+'CEI NILO PEÇANHA'!M15+'CENTRO DE EDUCAÇÃO INFANTIL AUG'!M15+'CEI THEREZINHA DE JESUS LIMA'!M15+'CEI VIDEIRINHA'!M15+'CEI PROFª ADRIANA CONSTÂNCIO TR'!M15+'CENTRO DE EDUCAÇÃO INFANTIL SÉR'!M15+'CEI JURACI PINTO DO AMARAL DE C'!M15+'CEI NOSSA SENHORA DA GLÓRIA'!M15+'CEI ALTO INDEPENDÊNCIA'!M15+'CEI SÃO JOSÉ DAS OBLATAS DE NAZ'!M15+'CEI SANTO ANTÔNIO AGOSTINHO'!M15+'CEI SÃO CHARBEL'!M15+'ASSOCIAÇÃO DA CRECHE SÃO FRANCI'!M15+'CEI SÃO JOSÉ DO ITAMARATI'!M15+'ASSOCIAÇÃO RECREAR'!M15+'CRECHE-ESCOLA CASTELO SÃO MANOE'!M15+'CENTRO DE EDUCAÇÃO INFANTIL SÃO'!M15</f>
        <v/>
      </c>
      <c r="E11" s="207">
        <f>'Entrada de Dados'!I2</f>
        <v/>
      </c>
      <c r="F11" s="207">
        <f>D11*E11</f>
        <v/>
      </c>
    </row>
    <row r="12" ht="15" customHeight="1" s="163">
      <c r="A12" s="195">
        <f>'Entrada de Dados'!J5</f>
        <v/>
      </c>
      <c r="B12" s="206">
        <f>'Entrada de Dados'!J197</f>
        <v/>
      </c>
      <c r="C12" s="206">
        <f>'E M ROTARY'!D16+'E M DE EDUCAÇÃO ESPECIAL SANTOS'!D16+'LICEU MUN PREFEITO CORDOLINO AM'!D16+'E M PREFEITO JAMIL SABRÁ'!D16+'LICEU MUNICIPAL CARLOS CHAGAS F'!D16+'E M PAULO FREIRE'!D16+'E M PROFª MARIA CAMPOS DA SILVA'!D16+'CASA DA EDUCAÇÃO VISCONDE DE MA'!D16+'CENTRO DE REFERÊNCIA EM EDUCAÇÃ'!D16+'ESCOLA SANTA LUIZA DE MARILLAC'!D16+'ESCOLA DOMÉSTICA NOSSA SENHORA '!D16+'ESCOLA MONSENHOR GENTIL'!D16+'ESCOLA PAROQUIAL NOSSA SENHORA '!D16+'ESCOLA PAROQUIAL SÃO PEDRO DE A'!D16+'CEI TERRA SANTA'!D16+'CEI PRIMEIRA INFÂNCIA'!D16+'CEI PROFª PATRÍCIA FERREIRA E S'!D16+'CEI DRA ZILDA ARNS NEUMANN'!D16+'CENTRO DE EDUCAÇÃO INFANTIL PRO'!D16+'CEI MONSENHOR PAULO ELIAS DAHER'!D16+'COLÉGIO GUNNAR VINGREN DE PETRÓ'!D16+'EDUCANDÁRIO TERRA SANTA'!D16+'CEI LIONS CLUBE DE PETRÓPOLIS'!D16+'ESCOLA PAROQUIAL NOSSA SENHO 2'!D16+'CENTRO DE EDUCAÇÃO INFANTIL IRM'!D16+'E M LUIZ CARLOS SOARES'!D16+'ESCOLA GERMANO VALENTE'!D16+'ESCOLA PAROQUIAL NOSSA SENHO 3'!D16+'CEI JORGE ROLANDO DA SILVA'!D16+'E M CLEMENTE FERNANDES'!D16+'E M GERALDO VENTURA DIAS'!D16+'ESCOLA DAS COMUNIDADES SANTO AN'!D16+'CEI PROFª ROSANGELA DA SILVA LE'!D16+'CEI DEISE ELOY GOMES'!D16+'CEI PROFª SONIA REGINA SCUDESE '!D16+'CEI TIA ALICE'!D16+'E M BATAILLARD'!D16+'E M SOROPTIMISTA'!D16+'E M SALVADOR KLING'!D16+'ESCOLA MUNICIPALIZADA FREI ANIC'!D16+'ESCOLA SÃO JUDAS TADEU'!D16+'CEI PEDRAS BRANCAS'!D16+'CEI MARIA THEREZA KLING DO VALL'!D16+'CEI DONA ESPERANZA DE BOURBON D'!D16+'CEI GIUSEPPE-NEVA VOLONTERIO'!D16+'CENTRO DE EDUCAÇÃO INFANTIL SÃO'!D16+'E M LEONARDO BOFF'!D16+'ESCOLA MUNICIPAL GENERAL HEITOR'!D16+'E M JOHANN NOEL'!D16+'ESCOLA SANTA MARIA GORETTI'!D16+'ESCOLA SANTA RITA DE CASSIA'!D16+'ESCOLA SÃO JOÃO BATISTA'!D16+'CEI CASA DA SOLIDARIEDADE DE NO'!D16+'CEI A SEMENTEIRA'!D16+'CEI VILA SAO JOSE'!D16+'E M DR RUBENS DE CASTRO BOMTEMP'!D16+'CEI FREI LEÃO'!D16+'CEI SÃO JOÃO BATISTA'!D16+'CEI JURACI PINTO DO AMARAL DE C'!D16+'E M PEDRO AMADO'!D16+'E M ABELARDO DE LAMARE'!D16+'ESCOLA MUNICIPAL SENADOR MARIO '!D16+'ESCOLA PAROQUIAL SÃO PIO X'!D16+'CEI SÃO CHARBEL'!D16+'E M ROSALINA NICOLAY'!D16+'CEI INÊS BELARMINO DE SOUZA'!D16+'E M PROFª MARIA DA GLÓRIA QUEIR'!D16+'CENTRO EDUCACIONAL COMUNIDADE S'!D16+'CEI ROMANO CANAVESE'!D16+'CEI CÉLIA LÔBO PAULO'!D16+'CEI PROFª DORA KILLER'!D16+'CEI ALTO INDEPENDÊNCIA'!D16+'ESCOLA MUNICIPAL ALTO INDEPENDÊ'!D16+'E M PAPA JOÃO PAULO II'!D16+'CEI ANDRÉ REBOUÇAS'!D16+'CEI PROFª HERMÍNIA MATHEUS'!D16+'ESCOLA MUNICIPAL MAJOR JÚLIO FR'!D16+'E M ALMIRANTE TAMANDARÉ'!D16+'ESCOLA PAROQUIAL CARLOS DEMIÁ'!D16+'CENTRO PAROQUIAL DE EDUCAÇÃO IN'!D16+'CEI IRMÃ SILVANA'!D16+'CEI OLÍVIA MACHADO DA COSTA NOG'!D16+'E M GOVERNADOR MARCELLO ALENCAR'!D16+'E M PROFESSOR FLÁVIO MACIEL'!D16+'E M PROFª JANDIRA PEIXOTO BORDI'!D16+'E M STEFAN ZWEIG'!D16+'ESCOLA PAROQUIAL BOM JESUS'!D16+'CEI MARLI SOARES FERREIRA NETTO'!D16+'CENTRO DE EDUCAÇÃO INFANTIL CHI'!D16+'CEI VILA IPANEMA'!D16+'E M ROBERT KENNEDY'!D16+'ESCOLA MUNICIPAL ANA MOHAMMAD'!D16+'ESCOLA SÃO CRISTÓVÃO'!D16+'CEI DÉA LÚCIA CORDEIRO'!D16+'CEI SAGRADA FAMÍLIA'!D16+'CEI SÃO JOSÉ DAS OBLATAS DE NAZ'!D16+'ESCOLA MUNICIPAL JORGE AMADO'!D16+'E M FÁBRICA DO SABER'!D16+'CIEP BRIZOLÃO 474 MAESTRO GUERR'!D16+'CENTRO DE ENSINO PROF DARCY RIB'!D16+'CEI ANDRÉ VANZAN'!D16+'CENTRO DE EDUCAÇÃO INFANTIL CAR'!D16+'CEI BOA VISTA'!D16+'ASSOCIAÇÃO DA CRECHE SÃO FRANCI'!D16+'ESCOLA MUNICIPAL PAULO SALDANHA'!D16+'ESCOLA MUNICIPAL LÚCIA DE ALMEI'!D16+'E M DOM MANOEL PEDRO DA CUNHA C'!D16+'ESCOLA SÃO GERALDO'!D16+'CEI LULU MONTEIRO DE CASTRO'!D16+'CEI CARANGOLA'!D16+'ASSOCIAÇÃO RECREAR'!D16+'CENTRO DE EDUCAÇÃO INFANTIL CAS'!D16+'E M ROSEMIRA DE OLIVEIRA CAVALC'!D16+'E MZDA CARMEM NUNES MARTINS'!D16+'CEI SÃO JOSÉ DO ITAMARATI'!D16+'E M DUQUE DE CAXIAS'!D16+'CENTRO DE EDUCAÇÃO INFANTIL  2'!D16+'E M ANTÔNIO LEITE GARCIA'!D16+'ESCOLA PAROQUIAL DA ALCOBAÇA'!D16+'CENTRO DE EDUCAÇÃO INFANTIL LOT'!D16+'ESCOLA PAROQUIAL DO LOTEAMENTO '!D16+'E M PROF JOAQUIM DEISTER'!D16+'E M MARIETA GONÇALVES'!D16+'ESCOLA MUNICIPAL ODETTE YOUNG M'!D16+'ESCOLA MUNICIPAL PROFESSOR JOSE'!D16+'E M HERCÍLIA HENRIQUES MORET'!D16+'COLEGIO VICENTINO PADRE CORRÊA'!D16+'CEI PROFª MARLUCE DE SOUZA PEST'!D16+'CEI IRINEU MARINHO'!D16+'CEI DAGMAR ROLANDO DE OLIVEIRA'!D16+'CEI NOSSA SENHORA DA GLÓRIA'!D16+'E M PROF NILTON COSTA PEREIRA D'!D16+'CENTRO DE EDUCAÇÃO INFANTIL SÉR'!D16+'CEI SANTO ANTÔNIO AGOSTINHO'!D16+'CEI OSWALDO CRUZ'!D16+'E M MAGDALENA TAGLIAFERRO'!D16+'ESCOLA SÃO JOSÉ DO CAETITU'!D16+'CRECHE-ESCOLA CASTELO SÃO MANOE'!D16+'CEI THEREZINHA DE JESUS LIMA'!D16+'ESCOLA MUNICIPAL PROFESSOR PAUL'!D16+'COLÉGIO ANGLICANO DE ARARAS'!D16+'ESCOLA PAROQUIAL SANTA BERNADET'!D16+'CEI VISTA ALEGRE'!D16+'CEI DENISE BESSA DE OLIVA MAYA'!D16+'CEI VIDEIRINHA'!D16+'E M AMÉRICO FERNANDES RIBEIRO'!D16+'ESCOLA MUNICIPAL AUGUSTO PUGNAL'!D16+'ESCOLA MUNICIPAL CELINA SCHECHN'!D16+'E M DARCY CORREA DA VEIGA'!D16+'E M DR PAULA BUARQUE'!D16+'LICEU SÃO JOSÉ DE ITAIPAVA'!D16+'CEI LUIZ MARCHIORI'!D16+'CENTRO DE EDUCAÇÃO INFANTIL AUG'!D16+'CEI PROFª ADRIANA CONSTÂNCIO TR'!D16+'E M AMÉLIA ANTUNES RABELLO'!D16+'CEI PREFEITO SÉRGIO FADEL'!D16+'E M DR THEODORO MACHADO'!D16+'ESCOLA SANTO ANTÔNIO'!D16+'E M TAQUARIL'!D16+'E M MONSENHOR JOÃO DE DEUS RODR'!D16+'CENTRO DE REFERÊNCIA EM EDUC 2'!D16+'CEI PROFª GRAÇA COSTA'!D16+'CEI VILA LEOPOLDINA'!D16+'CEI NILO PEÇANHA'!D16+'E MZDA SANTA TEREZINHA'!D16+'CEI CRIANÇA SANTA EDWIGES'!D16+'E M ARNALDO DYCKERHOFF'!D16+'E M CARLOS CANEDO'!D16+'E M BEATRIZ ZALESKI'!D16+'E M ANTÔNIO JOSÉ DE LIMA'!D16+'E M FELIX WAN ERVEN DE BARROS'!D16+'ESCOLA MUNICIPAL HILDEBRANDO DE'!D16+'E M OSWALDO DA COSTA FRIAS'!D16+'E MZDA AVELINO DE CARVALHO'!D16+'ESCOLA MUNICIPALIZADA MOYSÉS FU'!D16+'CEI ANGELA MARIA DA CONCEIÇÃO S'!D16+'CEI JOSÉ GONÇALVES DA MOTTA'!D16+'E M DR BARROS FRANCO'!D16+'E M MAJOR THEÓFILO DE CARVALHO'!D16+'E M JOÃO KOPKE'!D16+'CEI ASSOCIAÇÃO BENEFICENTE FAZE'!D16+'ESCOLA SAO FRANCISCO DE ASSIS'!D16+'CEI SÃO FRANCISCO ASSIS'!D16+'CEI ALDEIA DA CRIANCA'!D16+'ESCOLA MUNICIPAL ODETTE FONSECA'!D16+'CEI ANA CAROLINA TELLES'!D16+'E M SEBASTIÃO LACERDA'!D16+'E M DOM PEDRO DE ALCÂNTARA'!D16+'ESCOLA NOSSA SENHORA DE FÁTIMA'!D16+'ESCOLA PAROQUIAL SÃO FRANCISCO '!D16+'E M MONSENHOR CIRILLO CALAON'!D16</f>
        <v/>
      </c>
      <c r="D12" s="206">
        <f>'E M ABELARDO DE LAMARE'!M16+'E M BATAILLARD'!M16+'E M LEONARDO BOFF'!M16+'E M CLEMENTE FERNANDES'!M16+'E M DOM PEDRO DE ALCÂNTARA'!M16+'E M DUQUE DE CAXIAS'!M16+'E M LUIZ CARLOS SOARES'!M16+'ESCOLA MUNICIPAL GENERAL HEITOR'!M16+'E M JOÃO KOPKE'!M16+'ESCOLA MUNICIPAL ODETTE FONSECA'!M16+'E M GOVERNADOR MARCELLO ALENCAR'!M16+'E M PROF JOAQUIM DEISTER'!M16+'E M ROBERT KENNEDY'!M16+'E M ROTARY'!M16+'E M ROSALINA NICOLAY'!M16+'E M DE EDUCAÇÃO ESPECIAL SANTOS'!M16+'E M SOROPTIMISTA'!M16+'LICEU MUN PREFEITO CORDOLINO AM'!M16+'E M ANTÔNIO LEITE GARCIA'!M16+'ESCOLA MUNICIPAL JORGE AMADO'!M16+'ESCOLA MUNICIPAL LÚCIA DE ALMEI'!M16+'E M MAGDALENA TAGLIAFERRO'!M16+'ESCOLA MUNICIPAL MAJOR JÚLIO FR'!M16+'E M MARIETA GONÇALVES'!M16+'ESCOLA MUNICIPAL ODETTE YOUNG M'!M16+'E M FÁBRICA DO SABER'!M16+'ESCOLA MUNICIPAL PROFESSOR PAUL'!M16+'E M ROSEMIRA DE OLIVEIRA CAVALC'!M16+'E M AMÉLIA ANTUNES RABELLO'!M16+'ESCOLA MUNICIPAL AUGUSTO PUGNAL'!M16+'ESCOLA MUNICIPAL CELINA SCHECHN'!M16+'E M DARCY CORREA DA VEIGA'!M16+'E M DR PAULA BUARQUE'!M16+'E M DR THEODORO MACHADO'!M16+'E M ARNALDO DYCKERHOFF'!M16+'E M CARLOS CANEDO'!M16+'E M DR BARROS FRANCO'!M16+'E M MAJOR THEÓFILO DE CARVALHO'!M16+'E M TAQUARIL'!M16+'E M BEATRIZ ZALESKI'!M16+'E M ANTÔNIO JOSÉ DE LIMA'!M16+'E M FELIX WAN ERVEN DE BARROS'!M16+'ESCOLA MUNICIPAL HILDEBRANDO DE'!M16+'E M OSWALDO DA COSTA FRIAS'!M16+'E MZDA CARMEM NUNES MARTINS'!M16+'E MZDA AVELINO DE CARVALHO'!M16+'E M GERALDO VENTURA DIAS'!M16+'E M SALVADOR KLING'!M16+'E M PREFEITO JAMIL SABRÁ'!M16+'LICEU MUNICIPAL CARLOS CHAGAS F'!M16+'ESCOLA MUNICIPAL ANA MOHAMMAD'!M16+'ESCOLA MUNICIPAL ALTO INDEPENDÊ'!M16+'E M ALMIRANTE TAMANDARÉ'!M16+'ESCOLA MUNICIPALIZADA FREI ANIC'!M16+'E M PEDRO AMADO'!M16+'E M PROFª MARIA DA GLÓRIA QUEIR'!M16+'E M SEBASTIÃO LACERDA'!M16+'E M PROFESSOR FLÁVIO MACIEL'!M16+'ESCOLA MUNICIPAL PAULO SALDANHA'!M16+'ESCOLA MUNICIPAL PROFESSOR JOSE'!M16+'E M MONSENHOR CIRILLO CALAON'!M16+'E M AMÉRICO FERNANDES RIBEIRO'!M16+'E M PROFª JANDIRA PEIXOTO BORDI'!M16+'E M MONSENHOR JOÃO DE DEUS RODR'!M16+'E M DOM MANOEL PEDRO DA CUNHA C'!M16+'E M JOHANN NOEL'!M16+'E MZDA SANTA TEREZINHA'!M16+'E M PAPA JOÃO PAULO II'!M16+'E M STEFAN ZWEIG'!M16+'ESCOLA MUNICIPAL SENADOR MARIO '!M16+'E M DR RUBENS DE CASTRO BOMTEMP'!M16+'E M PAULO FREIRE'!M16+'E M PROFª MARIA CAMPOS DA SILVA'!M16+'E M HERCÍLIA HENRIQUES MORET'!M16+'ESCOLA MUNICIPALIZADA MOYSÉS FU'!M16+'CIEP BRIZOLÃO 474 MAESTRO GUERR'!M16+'CENTRO DE ENSINO PROF DARCY RIB'!M16+'CASA DA EDUCAÇÃO VISCONDE DE MA'!M16+'CENTRO DE REFERÊNCIA EM EDUCAÇÃ'!M16+'E M PROF NILTON COSTA PEREIRA D'!M16+'COLÉGIO GUNNAR VINGREN DE PETRÓ'!M16+'CENTRO DE REFERÊNCIA EM EDUC 2'!M16+'ESCOLA SANTA LUIZA DE MARILLAC'!M16+'CENTRO EDUCACIONAL COMUNIDADE S'!M16+'EDUCANDÁRIO TERRA SANTA'!M16+'ESCOLA GERMANO VALENTE'!M16+'ESCOLA DAS COMUNIDADES SANTO AN'!M16+'ESCOLA DOMÉSTICA NOSSA SENHORA '!M16+'ESCOLA PAROQUIAL NOSSA SENHO 3'!M16+'ESCOLA MONSENHOR GENTIL'!M16+'ESCOLA PAROQUIAL BOM JESUS'!M16+'ESCOLA PAROQUIAL CARLOS DEMIÁ'!M16+'ESCOLA PAROQUIAL NOSSA SENHO 2'!M16+'ESCOLA PAROQUIAL NOSSA SENHORA '!M16+'ESCOLA PAROQUIAL SÃO PEDRO DE A'!M16+'ESCOLA SANTA MARIA GORETTI'!M16+'ESCOLA SANTA RITA DE CASSIA'!M16+'ESCOLA SÃO CRISTÓVÃO'!M16+'ESCOLA PAROQUIAL SÃO FRANCISCO '!M16+'ESCOLA SAO FRANCISCO DE ASSIS'!M16+'ESCOLA SÃO JOÃO BATISTA'!M16+'ESCOLA SÃO JUDAS TADEU'!M16+'ESCOLA PAROQUIAL SÃO PIO X'!M16+'COLÉGIO ANGLICANO DE ARARAS'!M16+'COLEGIO VICENTINO PADRE CORRÊA'!M16+'ESCOLA NOSSA SENHORA DE FÁTIMA'!M16+'ESCOLA PAROQUIAL DA ALCOBAÇA'!M16+'ESCOLA PAROQUIAL DO LOTEAMENTO '!M16+'ESCOLA PAROQUIAL SANTA BERNADET'!M16+'ESCOLA SÃO GERALDO'!M16+'ESCOLA SANTO ANTÔNIO'!M16+'LICEU SÃO JOSÉ DE ITAIPAVA'!M16+'ESCOLA SÃO JOSÉ DO CAETITU'!M16+'CEI ASSOCIAÇÃO BENEFICENTE FAZE'!M16+'CEI CASA DA SOLIDARIEDADE DE NO'!M16+'CEI LULU MONTEIRO DE CASTRO'!M16+'CEI SÃO JOÃO BATISTA'!M16+'CEI SÃO FRANCISCO ASSIS'!M16+'CEI A SEMENTEIRA'!M16+'CEI FREI LEÃO'!M16+'CEI ROMANO CANAVESE'!M16+'CEI ANDRÉ VANZAN'!M16+'CEI CRIANÇA SANTA EDWIGES'!M16+'CENTRO DE EDUCAÇÃO INFANTIL IRM'!M16+'CEI PEDRAS BRANCAS'!M16+'CEI INÊS BELARMINO DE SOUZA'!M16+'CEI PROFª ROSANGELA DA SILVA LE'!M16+'CEI VILA SAO JOSE'!M16+'CEI MARIA THEREZA KLING DO VALL'!M16+'CEI DEISE ELOY GOMES'!M16+'CENTRO PAROQUIAL DE EDUCAÇÃO IN'!M16+'CEI VISTA ALEGRE'!M16+'CEI ALDEIA DA CRIANCA'!M16+'CEI DÉA LÚCIA CORDEIRO'!M16+'CENTRO DE EDUCAÇÃO INFANTIL CAR'!M16+'CEI IRMÃ SILVANA'!M16+'CEI MARLI SOARES FERREIRA NETTO'!M16+'CEI PROFª SONIA REGINA SCUDESE '!M16+'CEI DONA ESPERANZA DE BOURBON D'!M16+'CEI PREFEITO SÉRGIO FADEL'!M16+'CEI ANDRÉ REBOUÇAS'!M16+'CENTRO DE EDUCAÇÃO INFANTIL CHI'!M16+'CEI TIA ALICE'!M16+'CEI TERRA SANTA'!M16+'CEI JORGE ROLANDO DA SILVA'!M16+'CEI CARANGOLA'!M16+'CEI CÉLIA LÔBO PAULO'!M16+'CEI LIONS CLUBE DE PETRÓPOLIS'!M16+'CEI PROFª GRAÇA COSTA'!M16+'CEI ANGELA MARIA DA CONCEIÇÃO S'!M16+'CEI LUIZ MARCHIORI'!M16+'CEI PROFª MARLUCE DE SOUZA PEST'!M16+'CEI OLÍVIA MACHADO DA COSTA NOG'!M16+'CEI VILA IPANEMA'!M16+'CEI VILA LEOPOLDINA'!M16+'CENTRO DE EDUCAÇÃO INFANTIL CAS'!M16+'CEI PRIMEIRA INFÂNCIA'!M16+'CEI PROFª DORA KILLER'!M16+'CEI PROFª PATRÍCIA FERREIRA E S'!M16+'CEI DRA ZILDA ARNS NEUMANN'!M16+'CEI DENISE BESSA DE OLIVA MAYA'!M16+'CEI GIUSEPPE-NEVA VOLONTERIO'!M16+'CENTRO DE EDUCAÇÃO INFANTIL LOT'!M16+'CEI IRINEU MARINHO'!M16+'CEI OSWALDO CRUZ'!M16+'CEI ANA CAROLINA TELLES'!M16+'CEI JOSÉ GONÇALVES DA MOTTA'!M16+'CEI SAGRADA FAMÍLIA'!M16+'CEI PROFª HERMÍNIA MATHEUS'!M16+'CENTRO DE EDUCAÇÃO INFANTIL PRO'!M16+'CEI MONSENHOR PAULO ELIAS DAHER'!M16+'CEI DAGMAR ROLANDO DE OLIVEIRA'!M16+'CENTRO DE EDUCAÇÃO INFANTIL  2'!M16+'CEI BOA VISTA'!M16+'CEI NILO PEÇANHA'!M16+'CENTRO DE EDUCAÇÃO INFANTIL AUG'!M16+'CEI THEREZINHA DE JESUS LIMA'!M16+'CEI VIDEIRINHA'!M16+'CEI PROFª ADRIANA CONSTÂNCIO TR'!M16+'CENTRO DE EDUCAÇÃO INFANTIL SÉR'!M16+'CEI JURACI PINTO DO AMARAL DE C'!M16+'CEI NOSSA SENHORA DA GLÓRIA'!M16+'CEI ALTO INDEPENDÊNCIA'!M16+'CEI SÃO JOSÉ DAS OBLATAS DE NAZ'!M16+'CEI SANTO ANTÔNIO AGOSTINHO'!M16+'CEI SÃO CHARBEL'!M16+'ASSOCIAÇÃO DA CRECHE SÃO FRANCI'!M16+'CEI SÃO JOSÉ DO ITAMARATI'!M16+'ASSOCIAÇÃO RECREAR'!M16+'CRECHE-ESCOLA CASTELO SÃO MANOE'!M16+'CENTRO DE EDUCAÇÃO INFANTIL SÃO'!M16</f>
        <v/>
      </c>
      <c r="E12" s="207">
        <f>'Entrada de Dados'!J2</f>
        <v/>
      </c>
      <c r="F12" s="207">
        <f>D12*E12</f>
        <v/>
      </c>
    </row>
    <row r="13" ht="15" customHeight="1" s="163">
      <c r="A13" s="195">
        <f>'Entrada de Dados'!K5</f>
        <v/>
      </c>
      <c r="B13" s="206">
        <f>'Entrada de Dados'!K197</f>
        <v/>
      </c>
      <c r="C13" s="206">
        <f>'E M ROTARY'!D17+'E M DE EDUCAÇÃO ESPECIAL SANTOS'!D17+'LICEU MUN PREFEITO CORDOLINO AM'!D17+'E M PREFEITO JAMIL SABRÁ'!D17+'LICEU MUNICIPAL CARLOS CHAGAS F'!D17+'E M PAULO FREIRE'!D17+'E M PROFª MARIA CAMPOS DA SILVA'!D17+'CASA DA EDUCAÇÃO VISCONDE DE MA'!D17+'CENTRO DE REFERÊNCIA EM EDUCAÇÃ'!D17+'ESCOLA SANTA LUIZA DE MARILLAC'!D17+'ESCOLA DOMÉSTICA NOSSA SENHORA '!D17+'ESCOLA MONSENHOR GENTIL'!D17+'ESCOLA PAROQUIAL NOSSA SENHORA '!D17+'ESCOLA PAROQUIAL SÃO PEDRO DE A'!D17+'CEI TERRA SANTA'!D17+'CEI PRIMEIRA INFÂNCIA'!D17+'CEI PROFª PATRÍCIA FERREIRA E S'!D17+'CEI DRA ZILDA ARNS NEUMANN'!D17+'CENTRO DE EDUCAÇÃO INFANTIL PRO'!D17+'CEI MONSENHOR PAULO ELIAS DAHER'!D17+'COLÉGIO GUNNAR VINGREN DE PETRÓ'!D17+'EDUCANDÁRIO TERRA SANTA'!D17+'CEI LIONS CLUBE DE PETRÓPOLIS'!D17+'ESCOLA PAROQUIAL NOSSA SENHO 2'!D17+'CENTRO DE EDUCAÇÃO INFANTIL IRM'!D17+'E M LUIZ CARLOS SOARES'!D17+'ESCOLA GERMANO VALENTE'!D17+'ESCOLA PAROQUIAL NOSSA SENHO 3'!D17+'CEI JORGE ROLANDO DA SILVA'!D17+'E M CLEMENTE FERNANDES'!D17+'E M GERALDO VENTURA DIAS'!D17+'ESCOLA DAS COMUNIDADES SANTO AN'!D17+'CEI PROFª ROSANGELA DA SILVA LE'!D17+'CEI DEISE ELOY GOMES'!D17+'CEI PROFª SONIA REGINA SCUDESE '!D17+'CEI TIA ALICE'!D17+'E M BATAILLARD'!D17+'E M SOROPTIMISTA'!D17+'E M SALVADOR KLING'!D17+'ESCOLA MUNICIPALIZADA FREI ANIC'!D17+'ESCOLA SÃO JUDAS TADEU'!D17+'CEI PEDRAS BRANCAS'!D17+'CEI MARIA THEREZA KLING DO VALL'!D17+'CEI DONA ESPERANZA DE BOURBON D'!D17+'CEI GIUSEPPE-NEVA VOLONTERIO'!D17+'CENTRO DE EDUCAÇÃO INFANTIL SÃO'!D17+'E M LEONARDO BOFF'!D17+'ESCOLA MUNICIPAL GENERAL HEITOR'!D17+'E M JOHANN NOEL'!D17+'ESCOLA SANTA MARIA GORETTI'!D17+'ESCOLA SANTA RITA DE CASSIA'!D17+'ESCOLA SÃO JOÃO BATISTA'!D17+'CEI CASA DA SOLIDARIEDADE DE NO'!D17+'CEI A SEMENTEIRA'!D17+'CEI VILA SAO JOSE'!D17+'E M DR RUBENS DE CASTRO BOMTEMP'!D17+'CEI FREI LEÃO'!D17+'CEI SÃO JOÃO BATISTA'!D17+'CEI JURACI PINTO DO AMARAL DE C'!D17+'E M PEDRO AMADO'!D17+'E M ABELARDO DE LAMARE'!D17+'ESCOLA MUNICIPAL SENADOR MARIO '!D17+'ESCOLA PAROQUIAL SÃO PIO X'!D17+'CEI SÃO CHARBEL'!D17+'E M ROSALINA NICOLAY'!D17+'CEI INÊS BELARMINO DE SOUZA'!D17+'E M PROFª MARIA DA GLÓRIA QUEIR'!D17+'CENTRO EDUCACIONAL COMUNIDADE S'!D17+'CEI ROMANO CANAVESE'!D17+'CEI CÉLIA LÔBO PAULO'!D17+'CEI PROFª DORA KILLER'!D17+'CEI ALTO INDEPENDÊNCIA'!D17+'ESCOLA MUNICIPAL ALTO INDEPENDÊ'!D17+'E M PAPA JOÃO PAULO II'!D17+'CEI ANDRÉ REBOUÇAS'!D17+'CEI PROFª HERMÍNIA MATHEUS'!D17+'ESCOLA MUNICIPAL MAJOR JÚLIO FR'!D17+'E M ALMIRANTE TAMANDARÉ'!D17+'ESCOLA PAROQUIAL CARLOS DEMIÁ'!D17+'CENTRO PAROQUIAL DE EDUCAÇÃO IN'!D17+'CEI IRMÃ SILVANA'!D17+'CEI OLÍVIA MACHADO DA COSTA NOG'!D17+'E M GOVERNADOR MARCELLO ALENCAR'!D17+'E M PROFESSOR FLÁVIO MACIEL'!D17+'E M PROFª JANDIRA PEIXOTO BORDI'!D17+'E M STEFAN ZWEIG'!D17+'ESCOLA PAROQUIAL BOM JESUS'!D17+'CEI MARLI SOARES FERREIRA NETTO'!D17+'CENTRO DE EDUCAÇÃO INFANTIL CHI'!D17+'CEI VILA IPANEMA'!D17+'E M ROBERT KENNEDY'!D17+'ESCOLA MUNICIPAL ANA MOHAMMAD'!D17+'ESCOLA SÃO CRISTÓVÃO'!D17+'CEI DÉA LÚCIA CORDEIRO'!D17+'CEI SAGRADA FAMÍLIA'!D17+'CEI SÃO JOSÉ DAS OBLATAS DE NAZ'!D17+'ESCOLA MUNICIPAL JORGE AMADO'!D17+'E M FÁBRICA DO SABER'!D17+'CIEP BRIZOLÃO 474 MAESTRO GUERR'!D17+'CENTRO DE ENSINO PROF DARCY RIB'!D17+'CEI ANDRÉ VANZAN'!D17+'CENTRO DE EDUCAÇÃO INFANTIL CAR'!D17+'CEI BOA VISTA'!D17+'ASSOCIAÇÃO DA CRECHE SÃO FRANCI'!D17+'ESCOLA MUNICIPAL PAULO SALDANHA'!D17+'ESCOLA MUNICIPAL LÚCIA DE ALMEI'!D17+'E M DOM MANOEL PEDRO DA CUNHA C'!D17+'ESCOLA SÃO GERALDO'!D17+'CEI LULU MONTEIRO DE CASTRO'!D17+'CEI CARANGOLA'!D17+'ASSOCIAÇÃO RECREAR'!D17+'CENTRO DE EDUCAÇÃO INFANTIL CAS'!D17+'E M ROSEMIRA DE OLIVEIRA CAVALC'!D17+'E MZDA CARMEM NUNES MARTINS'!D17+'CEI SÃO JOSÉ DO ITAMARATI'!D17+'E M DUQUE DE CAXIAS'!D17+'CENTRO DE EDUCAÇÃO INFANTIL  2'!D17+'E M ANTÔNIO LEITE GARCIA'!D17+'ESCOLA PAROQUIAL DA ALCOBAÇA'!D17+'CENTRO DE EDUCAÇÃO INFANTIL LOT'!D17+'ESCOLA PAROQUIAL DO LOTEAMENTO '!D17+'E M PROF JOAQUIM DEISTER'!D17+'E M MARIETA GONÇALVES'!D17+'ESCOLA MUNICIPAL ODETTE YOUNG M'!D17+'ESCOLA MUNICIPAL PROFESSOR JOSE'!D17+'E M HERCÍLIA HENRIQUES MORET'!D17+'COLEGIO VICENTINO PADRE CORRÊA'!D17+'CEI PROFª MARLUCE DE SOUZA PEST'!D17+'CEI IRINEU MARINHO'!D17+'CEI DAGMAR ROLANDO DE OLIVEIRA'!D17+'CEI NOSSA SENHORA DA GLÓRIA'!D17+'E M PROF NILTON COSTA PEREIRA D'!D17+'CENTRO DE EDUCAÇÃO INFANTIL SÉR'!D17+'CEI SANTO ANTÔNIO AGOSTINHO'!D17+'CEI OSWALDO CRUZ'!D17+'E M MAGDALENA TAGLIAFERRO'!D17+'ESCOLA SÃO JOSÉ DO CAETITU'!D17+'CRECHE-ESCOLA CASTELO SÃO MANOE'!D17+'CEI THEREZINHA DE JESUS LIMA'!D17+'ESCOLA MUNICIPAL PROFESSOR PAUL'!D17+'COLÉGIO ANGLICANO DE ARARAS'!D17+'ESCOLA PAROQUIAL SANTA BERNADET'!D17+'CEI VISTA ALEGRE'!D17+'CEI DENISE BESSA DE OLIVA MAYA'!D17+'CEI VIDEIRINHA'!D17+'E M AMÉRICO FERNANDES RIBEIRO'!D17+'ESCOLA MUNICIPAL AUGUSTO PUGNAL'!D17+'ESCOLA MUNICIPAL CELINA SCHECHN'!D17+'E M DARCY CORREA DA VEIGA'!D17+'E M DR PAULA BUARQUE'!D17+'LICEU SÃO JOSÉ DE ITAIPAVA'!D17+'CEI LUIZ MARCHIORI'!D17+'CENTRO DE EDUCAÇÃO INFANTIL AUG'!D17+'CEI PROFª ADRIANA CONSTÂNCIO TR'!D17+'E M AMÉLIA ANTUNES RABELLO'!D17+'CEI PREFEITO SÉRGIO FADEL'!D17+'E M DR THEODORO MACHADO'!D17+'ESCOLA SANTO ANTÔNIO'!D17+'E M TAQUARIL'!D17+'E M MONSENHOR JOÃO DE DEUS RODR'!D17+'CENTRO DE REFERÊNCIA EM EDUC 2'!D17+'CEI PROFª GRAÇA COSTA'!D17+'CEI VILA LEOPOLDINA'!D17+'CEI NILO PEÇANHA'!D17+'E MZDA SANTA TEREZINHA'!D17+'CEI CRIANÇA SANTA EDWIGES'!D17+'E M ARNALDO DYCKERHOFF'!D17+'E M CARLOS CANEDO'!D17+'E M BEATRIZ ZALESKI'!D17+'E M ANTÔNIO JOSÉ DE LIMA'!D17+'E M FELIX WAN ERVEN DE BARROS'!D17+'ESCOLA MUNICIPAL HILDEBRANDO DE'!D17+'E M OSWALDO DA COSTA FRIAS'!D17+'E MZDA AVELINO DE CARVALHO'!D17+'ESCOLA MUNICIPALIZADA MOYSÉS FU'!D17+'CEI ANGELA MARIA DA CONCEIÇÃO S'!D17+'CEI JOSÉ GONÇALVES DA MOTTA'!D17+'E M DR BARROS FRANCO'!D17+'E M MAJOR THEÓFILO DE CARVALHO'!D17+'E M JOÃO KOPKE'!D17+'CEI ASSOCIAÇÃO BENEFICENTE FAZE'!D17+'ESCOLA SAO FRANCISCO DE ASSIS'!D17+'CEI SÃO FRANCISCO ASSIS'!D17+'CEI ALDEIA DA CRIANCA'!D17+'ESCOLA MUNICIPAL ODETTE FONSECA'!D17+'CEI ANA CAROLINA TELLES'!D17+'E M SEBASTIÃO LACERDA'!D17+'E M DOM PEDRO DE ALCÂNTARA'!D17+'ESCOLA NOSSA SENHORA DE FÁTIMA'!D17+'ESCOLA PAROQUIAL SÃO FRANCISCO '!D17+'E M MONSENHOR CIRILLO CALAON'!D17</f>
        <v/>
      </c>
      <c r="D13" s="206">
        <f>'E M ABELARDO DE LAMARE'!M17+'E M BATAILLARD'!M17+'E M LEONARDO BOFF'!M17+'E M CLEMENTE FERNANDES'!M17+'E M DOM PEDRO DE ALCÂNTARA'!M17+'E M DUQUE DE CAXIAS'!M17+'E M LUIZ CARLOS SOARES'!M17+'ESCOLA MUNICIPAL GENERAL HEITOR'!M17+'E M JOÃO KOPKE'!M17+'ESCOLA MUNICIPAL ODETTE FONSECA'!M17+'E M GOVERNADOR MARCELLO ALENCAR'!M17+'E M PROF JOAQUIM DEISTER'!M17+'E M ROBERT KENNEDY'!M17+'E M ROTARY'!M17+'E M ROSALINA NICOLAY'!M17+'E M DE EDUCAÇÃO ESPECIAL SANTOS'!M17+'E M SOROPTIMISTA'!M17+'LICEU MUN PREFEITO CORDOLINO AM'!M17+'E M ANTÔNIO LEITE GARCIA'!M17+'ESCOLA MUNICIPAL JORGE AMADO'!M17+'ESCOLA MUNICIPAL LÚCIA DE ALMEI'!M17+'E M MAGDALENA TAGLIAFERRO'!M17+'ESCOLA MUNICIPAL MAJOR JÚLIO FR'!M17+'E M MARIETA GONÇALVES'!M17+'ESCOLA MUNICIPAL ODETTE YOUNG M'!M17+'E M FÁBRICA DO SABER'!M17+'ESCOLA MUNICIPAL PROFESSOR PAUL'!M17+'E M ROSEMIRA DE OLIVEIRA CAVALC'!M17+'E M AMÉLIA ANTUNES RABELLO'!M17+'ESCOLA MUNICIPAL AUGUSTO PUGNAL'!M17+'ESCOLA MUNICIPAL CELINA SCHECHN'!M17+'E M DARCY CORREA DA VEIGA'!M17+'E M DR PAULA BUARQUE'!M17+'E M DR THEODORO MACHADO'!M17+'E M ARNALDO DYCKERHOFF'!M17+'E M CARLOS CANEDO'!M17+'E M DR BARROS FRANCO'!M17+'E M MAJOR THEÓFILO DE CARVALHO'!M17+'E M TAQUARIL'!M17+'E M BEATRIZ ZALESKI'!M17+'E M ANTÔNIO JOSÉ DE LIMA'!M17+'E M FELIX WAN ERVEN DE BARROS'!M17+'ESCOLA MUNICIPAL HILDEBRANDO DE'!M17+'E M OSWALDO DA COSTA FRIAS'!M17+'E MZDA CARMEM NUNES MARTINS'!M17+'E MZDA AVELINO DE CARVALHO'!M17+'E M GERALDO VENTURA DIAS'!M17+'E M SALVADOR KLING'!M17+'E M PREFEITO JAMIL SABRÁ'!M17+'LICEU MUNICIPAL CARLOS CHAGAS F'!M17+'ESCOLA MUNICIPAL ANA MOHAMMAD'!M17+'ESCOLA MUNICIPAL ALTO INDEPENDÊ'!M17+'E M ALMIRANTE TAMANDARÉ'!M17+'ESCOLA MUNICIPALIZADA FREI ANIC'!M17+'E M PEDRO AMADO'!M17+'E M PROFª MARIA DA GLÓRIA QUEIR'!M17+'E M SEBASTIÃO LACERDA'!M17+'E M PROFESSOR FLÁVIO MACIEL'!M17+'ESCOLA MUNICIPAL PAULO SALDANHA'!M17+'ESCOLA MUNICIPAL PROFESSOR JOSE'!M17+'E M MONSENHOR CIRILLO CALAON'!M17+'E M AMÉRICO FERNANDES RIBEIRO'!M17+'E M PROFª JANDIRA PEIXOTO BORDI'!M17+'E M MONSENHOR JOÃO DE DEUS RODR'!M17+'E M DOM MANOEL PEDRO DA CUNHA C'!M17+'E M JOHANN NOEL'!M17+'E MZDA SANTA TEREZINHA'!M17+'E M PAPA JOÃO PAULO II'!M17+'E M STEFAN ZWEIG'!M17+'ESCOLA MUNICIPAL SENADOR MARIO '!M17+'E M DR RUBENS DE CASTRO BOMTEMP'!M17+'E M PAULO FREIRE'!M17+'E M PROFª MARIA CAMPOS DA SILVA'!M17+'E M HERCÍLIA HENRIQUES MORET'!M17+'ESCOLA MUNICIPALIZADA MOYSÉS FU'!M17+'CIEP BRIZOLÃO 474 MAESTRO GUERR'!M17+'CENTRO DE ENSINO PROF DARCY RIB'!M17+'CASA DA EDUCAÇÃO VISCONDE DE MA'!M17+'CENTRO DE REFERÊNCIA EM EDUCAÇÃ'!M17+'E M PROF NILTON COSTA PEREIRA D'!M17+'COLÉGIO GUNNAR VINGREN DE PETRÓ'!M17+'CENTRO DE REFERÊNCIA EM EDUC 2'!M17+'ESCOLA SANTA LUIZA DE MARILLAC'!M17+'CENTRO EDUCACIONAL COMUNIDADE S'!M17+'EDUCANDÁRIO TERRA SANTA'!M17+'ESCOLA GERMANO VALENTE'!M17+'ESCOLA DAS COMUNIDADES SANTO AN'!M17+'ESCOLA DOMÉSTICA NOSSA SENHORA '!M17+'ESCOLA PAROQUIAL NOSSA SENHO 3'!M17+'ESCOLA MONSENHOR GENTIL'!M17+'ESCOLA PAROQUIAL BOM JESUS'!M17+'ESCOLA PAROQUIAL CARLOS DEMIÁ'!M17+'ESCOLA PAROQUIAL NOSSA SENHO 2'!M17+'ESCOLA PAROQUIAL NOSSA SENHORA '!M17+'ESCOLA PAROQUIAL SÃO PEDRO DE A'!M17+'ESCOLA SANTA MARIA GORETTI'!M17+'ESCOLA SANTA RITA DE CASSIA'!M17+'ESCOLA SÃO CRISTÓVÃO'!M17+'ESCOLA PAROQUIAL SÃO FRANCISCO '!M17+'ESCOLA SAO FRANCISCO DE ASSIS'!M17+'ESCOLA SÃO JOÃO BATISTA'!M17+'ESCOLA SÃO JUDAS TADEU'!M17+'ESCOLA PAROQUIAL SÃO PIO X'!M17+'COLÉGIO ANGLICANO DE ARARAS'!M17+'COLEGIO VICENTINO PADRE CORRÊA'!M17+'ESCOLA NOSSA SENHORA DE FÁTIMA'!M17+'ESCOLA PAROQUIAL DA ALCOBAÇA'!M17+'ESCOLA PAROQUIAL DO LOTEAMENTO '!M17+'ESCOLA PAROQUIAL SANTA BERNADET'!M17+'ESCOLA SÃO GERALDO'!M17+'ESCOLA SANTO ANTÔNIO'!M17+'LICEU SÃO JOSÉ DE ITAIPAVA'!M17+'ESCOLA SÃO JOSÉ DO CAETITU'!M17+'CEI ASSOCIAÇÃO BENEFICENTE FAZE'!M17+'CEI CASA DA SOLIDARIEDADE DE NO'!M17+'CEI LULU MONTEIRO DE CASTRO'!M17+'CEI SÃO JOÃO BATISTA'!M17+'CEI SÃO FRANCISCO ASSIS'!M17+'CEI A SEMENTEIRA'!M17+'CEI FREI LEÃO'!M17+'CEI ROMANO CANAVESE'!M17+'CEI ANDRÉ VANZAN'!M17+'CEI CRIANÇA SANTA EDWIGES'!M17+'CENTRO DE EDUCAÇÃO INFANTIL IRM'!M17+'CEI PEDRAS BRANCAS'!M17+'CEI INÊS BELARMINO DE SOUZA'!M17+'CEI PROFª ROSANGELA DA SILVA LE'!M17+'CEI VILA SAO JOSE'!M17+'CEI MARIA THEREZA KLING DO VALL'!M17+'CEI DEISE ELOY GOMES'!M17+'CENTRO PAROQUIAL DE EDUCAÇÃO IN'!M17+'CEI VISTA ALEGRE'!M17+'CEI ALDEIA DA CRIANCA'!M17+'CEI DÉA LÚCIA CORDEIRO'!M17+'CENTRO DE EDUCAÇÃO INFANTIL CAR'!M17+'CEI IRMÃ SILVANA'!M17+'CEI MARLI SOARES FERREIRA NETTO'!M17+'CEI PROFª SONIA REGINA SCUDESE '!M17+'CEI DONA ESPERANZA DE BOURBON D'!M17+'CEI PREFEITO SÉRGIO FADEL'!M17+'CEI ANDRÉ REBOUÇAS'!M17+'CENTRO DE EDUCAÇÃO INFANTIL CHI'!M17+'CEI TIA ALICE'!M17+'CEI TERRA SANTA'!M17+'CEI JORGE ROLANDO DA SILVA'!M17+'CEI CARANGOLA'!M17+'CEI CÉLIA LÔBO PAULO'!M17+'CEI LIONS CLUBE DE PETRÓPOLIS'!M17+'CEI PROFª GRAÇA COSTA'!M17+'CEI ANGELA MARIA DA CONCEIÇÃO S'!M17+'CEI LUIZ MARCHIORI'!M17+'CEI PROFª MARLUCE DE SOUZA PEST'!M17+'CEI OLÍVIA MACHADO DA COSTA NOG'!M17+'CEI VILA IPANEMA'!M17+'CEI VILA LEOPOLDINA'!M17+'CENTRO DE EDUCAÇÃO INFANTIL CAS'!M17+'CEI PRIMEIRA INFÂNCIA'!M17+'CEI PROFª DORA KILLER'!M17+'CEI PROFª PATRÍCIA FERREIRA E S'!M17+'CEI DRA ZILDA ARNS NEUMANN'!M17+'CEI DENISE BESSA DE OLIVA MAYA'!M17+'CEI GIUSEPPE-NEVA VOLONTERIO'!M17+'CENTRO DE EDUCAÇÃO INFANTIL LOT'!M17+'CEI IRINEU MARINHO'!M17+'CEI OSWALDO CRUZ'!M17+'CEI ANA CAROLINA TELLES'!M17+'CEI JOSÉ GONÇALVES DA MOTTA'!M17+'CEI SAGRADA FAMÍLIA'!M17+'CEI PROFª HERMÍNIA MATHEUS'!M17+'CENTRO DE EDUCAÇÃO INFANTIL PRO'!M17+'CEI MONSENHOR PAULO ELIAS DAHER'!M17+'CEI DAGMAR ROLANDO DE OLIVEIRA'!M17+'CENTRO DE EDUCAÇÃO INFANTIL  2'!M17+'CEI BOA VISTA'!M17+'CEI NILO PEÇANHA'!M17+'CENTRO DE EDUCAÇÃO INFANTIL AUG'!M17+'CEI THEREZINHA DE JESUS LIMA'!M17+'CEI VIDEIRINHA'!M17+'CEI PROFª ADRIANA CONSTÂNCIO TR'!M17+'CENTRO DE EDUCAÇÃO INFANTIL SÉR'!M17+'CEI JURACI PINTO DO AMARAL DE C'!M17+'CEI NOSSA SENHORA DA GLÓRIA'!M17+'CEI ALTO INDEPENDÊNCIA'!M17+'CEI SÃO JOSÉ DAS OBLATAS DE NAZ'!M17+'CEI SANTO ANTÔNIO AGOSTINHO'!M17+'CEI SÃO CHARBEL'!M17+'ASSOCIAÇÃO DA CRECHE SÃO FRANCI'!M17+'CEI SÃO JOSÉ DO ITAMARATI'!M17+'ASSOCIAÇÃO RECREAR'!M17+'CRECHE-ESCOLA CASTELO SÃO MANOE'!M17+'CENTRO DE EDUCAÇÃO INFANTIL SÃO'!M17</f>
        <v/>
      </c>
      <c r="E13" s="207">
        <f>'Entrada de Dados'!K2</f>
        <v/>
      </c>
      <c r="F13" s="207">
        <f>D13*E13</f>
        <v/>
      </c>
    </row>
    <row r="14" ht="15" customHeight="1" s="163">
      <c r="A14" s="195">
        <f>'Entrada de Dados'!L5</f>
        <v/>
      </c>
      <c r="B14" s="206">
        <f>'Entrada de Dados'!L197</f>
        <v/>
      </c>
      <c r="C14" s="206">
        <f>'E M ROTARY'!D18+'E M DE EDUCAÇÃO ESPECIAL SANTOS'!D18+'LICEU MUN PREFEITO CORDOLINO AM'!D18+'E M PREFEITO JAMIL SABRÁ'!D18+'LICEU MUNICIPAL CARLOS CHAGAS F'!D18+'E M PAULO FREIRE'!D18+'E M PROFª MARIA CAMPOS DA SILVA'!D18+'CASA DA EDUCAÇÃO VISCONDE DE MA'!D18+'CENTRO DE REFERÊNCIA EM EDUCAÇÃ'!D18+'ESCOLA SANTA LUIZA DE MARILLAC'!D18+'ESCOLA DOMÉSTICA NOSSA SENHORA '!D18+'ESCOLA MONSENHOR GENTIL'!D18+'ESCOLA PAROQUIAL NOSSA SENHORA '!D18+'ESCOLA PAROQUIAL SÃO PEDRO DE A'!D18+'CEI TERRA SANTA'!D18+'CEI PRIMEIRA INFÂNCIA'!D18+'CEI PROFª PATRÍCIA FERREIRA E S'!D18+'CEI DRA ZILDA ARNS NEUMANN'!D18+'CENTRO DE EDUCAÇÃO INFANTIL PRO'!D18+'CEI MONSENHOR PAULO ELIAS DAHER'!D18+'COLÉGIO GUNNAR VINGREN DE PETRÓ'!D18+'EDUCANDÁRIO TERRA SANTA'!D18+'CEI LIONS CLUBE DE PETRÓPOLIS'!D18+'ESCOLA PAROQUIAL NOSSA SENHO 2'!D18+'CENTRO DE EDUCAÇÃO INFANTIL IRM'!D18+'E M LUIZ CARLOS SOARES'!D18+'ESCOLA GERMANO VALENTE'!D18+'ESCOLA PAROQUIAL NOSSA SENHO 3'!D18+'CEI JORGE ROLANDO DA SILVA'!D18+'E M CLEMENTE FERNANDES'!D18+'E M GERALDO VENTURA DIAS'!D18+'ESCOLA DAS COMUNIDADES SANTO AN'!D18+'CEI PROFª ROSANGELA DA SILVA LE'!D18+'CEI DEISE ELOY GOMES'!D18+'CEI PROFª SONIA REGINA SCUDESE '!D18+'CEI TIA ALICE'!D18+'E M BATAILLARD'!D18+'E M SOROPTIMISTA'!D18+'E M SALVADOR KLING'!D18+'ESCOLA MUNICIPALIZADA FREI ANIC'!D18+'ESCOLA SÃO JUDAS TADEU'!D18+'CEI PEDRAS BRANCAS'!D18+'CEI MARIA THEREZA KLING DO VALL'!D18+'CEI DONA ESPERANZA DE BOURBON D'!D18+'CEI GIUSEPPE-NEVA VOLONTERIO'!D18+'CENTRO DE EDUCAÇÃO INFANTIL SÃO'!D18+'E M LEONARDO BOFF'!D18+'ESCOLA MUNICIPAL GENERAL HEITOR'!D18+'E M JOHANN NOEL'!D18+'ESCOLA SANTA MARIA GORETTI'!D18+'ESCOLA SANTA RITA DE CASSIA'!D18+'ESCOLA SÃO JOÃO BATISTA'!D18+'CEI CASA DA SOLIDARIEDADE DE NO'!D18+'CEI A SEMENTEIRA'!D18+'CEI VILA SAO JOSE'!D18+'E M DR RUBENS DE CASTRO BOMTEMP'!D18+'CEI FREI LEÃO'!D18+'CEI SÃO JOÃO BATISTA'!D18+'CEI JURACI PINTO DO AMARAL DE C'!D18+'E M PEDRO AMADO'!D18+'E M ABELARDO DE LAMARE'!D18+'ESCOLA MUNICIPAL SENADOR MARIO '!D18+'ESCOLA PAROQUIAL SÃO PIO X'!D18+'CEI SÃO CHARBEL'!D18+'E M ROSALINA NICOLAY'!D18+'CEI INÊS BELARMINO DE SOUZA'!D18+'E M PROFª MARIA DA GLÓRIA QUEIR'!D18+'CENTRO EDUCACIONAL COMUNIDADE S'!D18+'CEI ROMANO CANAVESE'!D18+'CEI CÉLIA LÔBO PAULO'!D18+'CEI PROFª DORA KILLER'!D18+'CEI ALTO INDEPENDÊNCIA'!D18+'ESCOLA MUNICIPAL ALTO INDEPENDÊ'!D18+'E M PAPA JOÃO PAULO II'!D18+'CEI ANDRÉ REBOUÇAS'!D18+'CEI PROFª HERMÍNIA MATHEUS'!D18+'ESCOLA MUNICIPAL MAJOR JÚLIO FR'!D18+'E M ALMIRANTE TAMANDARÉ'!D18+'ESCOLA PAROQUIAL CARLOS DEMIÁ'!D18+'CENTRO PAROQUIAL DE EDUCAÇÃO IN'!D18+'CEI IRMÃ SILVANA'!D18+'CEI OLÍVIA MACHADO DA COSTA NOG'!D18+'E M GOVERNADOR MARCELLO ALENCAR'!D18+'E M PROFESSOR FLÁVIO MACIEL'!D18+'E M PROFª JANDIRA PEIXOTO BORDI'!D18+'E M STEFAN ZWEIG'!D18+'ESCOLA PAROQUIAL BOM JESUS'!D18+'CEI MARLI SOARES FERREIRA NETTO'!D18+'CENTRO DE EDUCAÇÃO INFANTIL CHI'!D18+'CEI VILA IPANEMA'!D18+'E M ROBERT KENNEDY'!D18+'ESCOLA MUNICIPAL ANA MOHAMMAD'!D18+'ESCOLA SÃO CRISTÓVÃO'!D18+'CEI DÉA LÚCIA CORDEIRO'!D18+'CEI SAGRADA FAMÍLIA'!D18+'CEI SÃO JOSÉ DAS OBLATAS DE NAZ'!D18+'ESCOLA MUNICIPAL JORGE AMADO'!D18+'E M FÁBRICA DO SABER'!D18+'CIEP BRIZOLÃO 474 MAESTRO GUERR'!D18+'CENTRO DE ENSINO PROF DARCY RIB'!D18+'CEI ANDRÉ VANZAN'!D18+'CENTRO DE EDUCAÇÃO INFANTIL CAR'!D18+'CEI BOA VISTA'!D18+'ASSOCIAÇÃO DA CRECHE SÃO FRANCI'!D18+'ESCOLA MUNICIPAL PAULO SALDANHA'!D18+'ESCOLA MUNICIPAL LÚCIA DE ALMEI'!D18+'E M DOM MANOEL PEDRO DA CUNHA C'!D18+'ESCOLA SÃO GERALDO'!D18+'CEI LULU MONTEIRO DE CASTRO'!D18+'CEI CARANGOLA'!D18+'ASSOCIAÇÃO RECREAR'!D18+'CENTRO DE EDUCAÇÃO INFANTIL CAS'!D18+'E M ROSEMIRA DE OLIVEIRA CAVALC'!D18+'E MZDA CARMEM NUNES MARTINS'!D18+'CEI SÃO JOSÉ DO ITAMARATI'!D18+'E M DUQUE DE CAXIAS'!D18+'CENTRO DE EDUCAÇÃO INFANTIL  2'!D18+'E M ANTÔNIO LEITE GARCIA'!D18+'ESCOLA PAROQUIAL DA ALCOBAÇA'!D18+'CENTRO DE EDUCAÇÃO INFANTIL LOT'!D18+'ESCOLA PAROQUIAL DO LOTEAMENTO '!D18+'E M PROF JOAQUIM DEISTER'!D18+'E M MARIETA GONÇALVES'!D18+'ESCOLA MUNICIPAL ODETTE YOUNG M'!D18+'ESCOLA MUNICIPAL PROFESSOR JOSE'!D18+'E M HERCÍLIA HENRIQUES MORET'!D18+'COLEGIO VICENTINO PADRE CORRÊA'!D18+'CEI PROFª MARLUCE DE SOUZA PEST'!D18+'CEI IRINEU MARINHO'!D18+'CEI DAGMAR ROLANDO DE OLIVEIRA'!D18+'CEI NOSSA SENHORA DA GLÓRIA'!D18+'E M PROF NILTON COSTA PEREIRA D'!D18+'CENTRO DE EDUCAÇÃO INFANTIL SÉR'!D18+'CEI SANTO ANTÔNIO AGOSTINHO'!D18+'CEI OSWALDO CRUZ'!D18+'E M MAGDALENA TAGLIAFERRO'!D18+'ESCOLA SÃO JOSÉ DO CAETITU'!D18+'CRECHE-ESCOLA CASTELO SÃO MANOE'!D18+'CEI THEREZINHA DE JESUS LIMA'!D18+'ESCOLA MUNICIPAL PROFESSOR PAUL'!D18+'COLÉGIO ANGLICANO DE ARARAS'!D18+'ESCOLA PAROQUIAL SANTA BERNADET'!D18+'CEI VISTA ALEGRE'!D18+'CEI DENISE BESSA DE OLIVA MAYA'!D18+'CEI VIDEIRINHA'!D18+'E M AMÉRICO FERNANDES RIBEIRO'!D18+'ESCOLA MUNICIPAL AUGUSTO PUGNAL'!D18+'ESCOLA MUNICIPAL CELINA SCHECHN'!D18+'E M DARCY CORREA DA VEIGA'!D18+'E M DR PAULA BUARQUE'!D18+'LICEU SÃO JOSÉ DE ITAIPAVA'!D18+'CEI LUIZ MARCHIORI'!D18+'CENTRO DE EDUCAÇÃO INFANTIL AUG'!D18+'CEI PROFª ADRIANA CONSTÂNCIO TR'!D18+'E M AMÉLIA ANTUNES RABELLO'!D18+'CEI PREFEITO SÉRGIO FADEL'!D18+'E M DR THEODORO MACHADO'!D18+'ESCOLA SANTO ANTÔNIO'!D18+'E M TAQUARIL'!D18+'E M MONSENHOR JOÃO DE DEUS RODR'!D18+'CENTRO DE REFERÊNCIA EM EDUC 2'!D18+'CEI PROFª GRAÇA COSTA'!D18+'CEI VILA LEOPOLDINA'!D18+'CEI NILO PEÇANHA'!D18+'E MZDA SANTA TEREZINHA'!D18+'CEI CRIANÇA SANTA EDWIGES'!D18+'E M ARNALDO DYCKERHOFF'!D18+'E M CARLOS CANEDO'!D18+'E M BEATRIZ ZALESKI'!D18+'E M ANTÔNIO JOSÉ DE LIMA'!D18+'E M FELIX WAN ERVEN DE BARROS'!D18+'ESCOLA MUNICIPAL HILDEBRANDO DE'!D18+'E M OSWALDO DA COSTA FRIAS'!D18+'E MZDA AVELINO DE CARVALHO'!D18+'ESCOLA MUNICIPALIZADA MOYSÉS FU'!D18+'CEI ANGELA MARIA DA CONCEIÇÃO S'!D18+'CEI JOSÉ GONÇALVES DA MOTTA'!D18+'E M DR BARROS FRANCO'!D18+'E M MAJOR THEÓFILO DE CARVALHO'!D18+'E M JOÃO KOPKE'!D18+'CEI ASSOCIAÇÃO BENEFICENTE FAZE'!D18+'ESCOLA SAO FRANCISCO DE ASSIS'!D18+'CEI SÃO FRANCISCO ASSIS'!D18+'CEI ALDEIA DA CRIANCA'!D18+'ESCOLA MUNICIPAL ODETTE FONSECA'!D18+'CEI ANA CAROLINA TELLES'!D18+'E M SEBASTIÃO LACERDA'!D18+'E M DOM PEDRO DE ALCÂNTARA'!D18+'ESCOLA NOSSA SENHORA DE FÁTIMA'!D18+'ESCOLA PAROQUIAL SÃO FRANCISCO '!D18+'E M MONSENHOR CIRILLO CALAON'!D18</f>
        <v/>
      </c>
      <c r="D14" s="206">
        <f>'E M ABELARDO DE LAMARE'!M18+'E M BATAILLARD'!M18+'E M LEONARDO BOFF'!M18+'E M CLEMENTE FERNANDES'!M18+'E M DOM PEDRO DE ALCÂNTARA'!M18+'E M DUQUE DE CAXIAS'!M18+'E M LUIZ CARLOS SOARES'!M18+'ESCOLA MUNICIPAL GENERAL HEITOR'!M18+'E M JOÃO KOPKE'!M18+'ESCOLA MUNICIPAL ODETTE FONSECA'!M18+'E M GOVERNADOR MARCELLO ALENCAR'!M18+'E M PROF JOAQUIM DEISTER'!M18+'E M ROBERT KENNEDY'!M18+'E M ROTARY'!M18+'E M ROSALINA NICOLAY'!M18+'E M DE EDUCAÇÃO ESPECIAL SANTOS'!M18+'E M SOROPTIMISTA'!M18+'LICEU MUN PREFEITO CORDOLINO AM'!M18+'E M ANTÔNIO LEITE GARCIA'!M18+'ESCOLA MUNICIPAL JORGE AMADO'!M18+'ESCOLA MUNICIPAL LÚCIA DE ALMEI'!M18+'E M MAGDALENA TAGLIAFERRO'!M18+'ESCOLA MUNICIPAL MAJOR JÚLIO FR'!M18+'E M MARIETA GONÇALVES'!M18+'ESCOLA MUNICIPAL ODETTE YOUNG M'!M18+'E M FÁBRICA DO SABER'!M18+'ESCOLA MUNICIPAL PROFESSOR PAUL'!M18+'E M ROSEMIRA DE OLIVEIRA CAVALC'!M18+'E M AMÉLIA ANTUNES RABELLO'!M18+'ESCOLA MUNICIPAL AUGUSTO PUGNAL'!M18+'ESCOLA MUNICIPAL CELINA SCHECHN'!M18+'E M DARCY CORREA DA VEIGA'!M18+'E M DR PAULA BUARQUE'!M18+'E M DR THEODORO MACHADO'!M18+'E M ARNALDO DYCKERHOFF'!M18+'E M CARLOS CANEDO'!M18+'E M DR BARROS FRANCO'!M18+'E M MAJOR THEÓFILO DE CARVALHO'!M18+'E M TAQUARIL'!M18+'E M BEATRIZ ZALESKI'!M18+'E M ANTÔNIO JOSÉ DE LIMA'!M18+'E M FELIX WAN ERVEN DE BARROS'!M18+'ESCOLA MUNICIPAL HILDEBRANDO DE'!M18+'E M OSWALDO DA COSTA FRIAS'!M18+'E MZDA CARMEM NUNES MARTINS'!M18+'E MZDA AVELINO DE CARVALHO'!M18+'E M GERALDO VENTURA DIAS'!M18+'E M SALVADOR KLING'!M18+'E M PREFEITO JAMIL SABRÁ'!M18+'LICEU MUNICIPAL CARLOS CHAGAS F'!M18+'ESCOLA MUNICIPAL ANA MOHAMMAD'!M18+'ESCOLA MUNICIPAL ALTO INDEPENDÊ'!M18+'E M ALMIRANTE TAMANDARÉ'!M18+'ESCOLA MUNICIPALIZADA FREI ANIC'!M18+'E M PEDRO AMADO'!M18+'E M PROFª MARIA DA GLÓRIA QUEIR'!M18+'E M SEBASTIÃO LACERDA'!M18+'E M PROFESSOR FLÁVIO MACIEL'!M18+'ESCOLA MUNICIPAL PAULO SALDANHA'!M18+'ESCOLA MUNICIPAL PROFESSOR JOSE'!M18+'E M MONSENHOR CIRILLO CALAON'!M18+'E M AMÉRICO FERNANDES RIBEIRO'!M18+'E M PROFª JANDIRA PEIXOTO BORDI'!M18+'E M MONSENHOR JOÃO DE DEUS RODR'!M18+'E M DOM MANOEL PEDRO DA CUNHA C'!M18+'E M JOHANN NOEL'!M18+'E MZDA SANTA TEREZINHA'!M18+'E M PAPA JOÃO PAULO II'!M18+'E M STEFAN ZWEIG'!M18+'ESCOLA MUNICIPAL SENADOR MARIO '!M18+'E M DR RUBENS DE CASTRO BOMTEMP'!M18+'E M PAULO FREIRE'!M18+'E M PROFª MARIA CAMPOS DA SILVA'!M18+'E M HERCÍLIA HENRIQUES MORET'!M18+'ESCOLA MUNICIPALIZADA MOYSÉS FU'!M18+'CIEP BRIZOLÃO 474 MAESTRO GUERR'!M18+'CENTRO DE ENSINO PROF DARCY RIB'!M18+'CASA DA EDUCAÇÃO VISCONDE DE MA'!M18+'CENTRO DE REFERÊNCIA EM EDUCAÇÃ'!M18+'E M PROF NILTON COSTA PEREIRA D'!M18+'COLÉGIO GUNNAR VINGREN DE PETRÓ'!M18+'CENTRO DE REFERÊNCIA EM EDUC 2'!M18+'ESCOLA SANTA LUIZA DE MARILLAC'!M18+'CENTRO EDUCACIONAL COMUNIDADE S'!M18+'EDUCANDÁRIO TERRA SANTA'!M18+'ESCOLA GERMANO VALENTE'!M18+'ESCOLA DAS COMUNIDADES SANTO AN'!M18+'ESCOLA DOMÉSTICA NOSSA SENHORA '!M18+'ESCOLA PAROQUIAL NOSSA SENHO 3'!M18+'ESCOLA MONSENHOR GENTIL'!M18+'ESCOLA PAROQUIAL BOM JESUS'!M18+'ESCOLA PAROQUIAL CARLOS DEMIÁ'!M18+'ESCOLA PAROQUIAL NOSSA SENHO 2'!M18+'ESCOLA PAROQUIAL NOSSA SENHORA '!M18+'ESCOLA PAROQUIAL SÃO PEDRO DE A'!M18+'ESCOLA SANTA MARIA GORETTI'!M18+'ESCOLA SANTA RITA DE CASSIA'!M18+'ESCOLA SÃO CRISTÓVÃO'!M18+'ESCOLA PAROQUIAL SÃO FRANCISCO '!M18+'ESCOLA SAO FRANCISCO DE ASSIS'!M18+'ESCOLA SÃO JOÃO BATISTA'!M18+'ESCOLA SÃO JUDAS TADEU'!M18+'ESCOLA PAROQUIAL SÃO PIO X'!M18+'COLÉGIO ANGLICANO DE ARARAS'!M18+'COLEGIO VICENTINO PADRE CORRÊA'!M18+'ESCOLA NOSSA SENHORA DE FÁTIMA'!M18+'ESCOLA PAROQUIAL DA ALCOBAÇA'!M18+'ESCOLA PAROQUIAL DO LOTEAMENTO '!M18+'ESCOLA PAROQUIAL SANTA BERNADET'!M18+'ESCOLA SÃO GERALDO'!M18+'ESCOLA SANTO ANTÔNIO'!M18+'LICEU SÃO JOSÉ DE ITAIPAVA'!M18+'ESCOLA SÃO JOSÉ DO CAETITU'!M18+'CEI ASSOCIAÇÃO BENEFICENTE FAZE'!M18+'CEI CASA DA SOLIDARIEDADE DE NO'!M18+'CEI LULU MONTEIRO DE CASTRO'!M18+'CEI SÃO JOÃO BATISTA'!M18+'CEI SÃO FRANCISCO ASSIS'!M18+'CEI A SEMENTEIRA'!M18+'CEI FREI LEÃO'!M18+'CEI ROMANO CANAVESE'!M18+'CEI ANDRÉ VANZAN'!M18+'CEI CRIANÇA SANTA EDWIGES'!M18+'CENTRO DE EDUCAÇÃO INFANTIL IRM'!M18+'CEI PEDRAS BRANCAS'!M18+'CEI INÊS BELARMINO DE SOUZA'!M18+'CEI PROFª ROSANGELA DA SILVA LE'!M18+'CEI VILA SAO JOSE'!M18+'CEI MARIA THEREZA KLING DO VALL'!M18+'CEI DEISE ELOY GOMES'!M18+'CENTRO PAROQUIAL DE EDUCAÇÃO IN'!M18+'CEI VISTA ALEGRE'!M18+'CEI ALDEIA DA CRIANCA'!M18+'CEI DÉA LÚCIA CORDEIRO'!M18+'CENTRO DE EDUCAÇÃO INFANTIL CAR'!M18+'CEI IRMÃ SILVANA'!M18+'CEI MARLI SOARES FERREIRA NETTO'!M18+'CEI PROFª SONIA REGINA SCUDESE '!M18+'CEI DONA ESPERANZA DE BOURBON D'!M18+'CEI PREFEITO SÉRGIO FADEL'!M18+'CEI ANDRÉ REBOUÇAS'!M18+'CENTRO DE EDUCAÇÃO INFANTIL CHI'!M18+'CEI TIA ALICE'!M18+'CEI TERRA SANTA'!M18+'CEI JORGE ROLANDO DA SILVA'!M18+'CEI CARANGOLA'!M18+'CEI CÉLIA LÔBO PAULO'!M18+'CEI LIONS CLUBE DE PETRÓPOLIS'!M18+'CEI PROFª GRAÇA COSTA'!M18+'CEI ANGELA MARIA DA CONCEIÇÃO S'!M18+'CEI LUIZ MARCHIORI'!M18+'CEI PROFª MARLUCE DE SOUZA PEST'!M18+'CEI OLÍVIA MACHADO DA COSTA NOG'!M18+'CEI VILA IPANEMA'!M18+'CEI VILA LEOPOLDINA'!M18+'CENTRO DE EDUCAÇÃO INFANTIL CAS'!M18+'CEI PRIMEIRA INFÂNCIA'!M18+'CEI PROFª DORA KILLER'!M18+'CEI PROFª PATRÍCIA FERREIRA E S'!M18+'CEI DRA ZILDA ARNS NEUMANN'!M18+'CEI DENISE BESSA DE OLIVA MAYA'!M18+'CEI GIUSEPPE-NEVA VOLONTERIO'!M18+'CENTRO DE EDUCAÇÃO INFANTIL LOT'!M18+'CEI IRINEU MARINHO'!M18+'CEI OSWALDO CRUZ'!M18+'CEI ANA CAROLINA TELLES'!M18+'CEI JOSÉ GONÇALVES DA MOTTA'!M18+'CEI SAGRADA FAMÍLIA'!M18+'CEI PROFª HERMÍNIA MATHEUS'!M18+'CENTRO DE EDUCAÇÃO INFANTIL PRO'!M18+'CEI MONSENHOR PAULO ELIAS DAHER'!M18+'CEI DAGMAR ROLANDO DE OLIVEIRA'!M18+'CENTRO DE EDUCAÇÃO INFANTIL  2'!M18+'CEI BOA VISTA'!M18+'CEI NILO PEÇANHA'!M18+'CENTRO DE EDUCAÇÃO INFANTIL AUG'!M18+'CEI THEREZINHA DE JESUS LIMA'!M18+'CEI VIDEIRINHA'!M18+'CEI PROFª ADRIANA CONSTÂNCIO TR'!M18+'CENTRO DE EDUCAÇÃO INFANTIL SÉR'!M18+'CEI JURACI PINTO DO AMARAL DE C'!M18+'CEI NOSSA SENHORA DA GLÓRIA'!M18+'CEI ALTO INDEPENDÊNCIA'!M18+'CEI SÃO JOSÉ DAS OBLATAS DE NAZ'!M18+'CEI SANTO ANTÔNIO AGOSTINHO'!M18+'CEI SÃO CHARBEL'!M18+'ASSOCIAÇÃO DA CRECHE SÃO FRANCI'!M18+'CEI SÃO JOSÉ DO ITAMARATI'!M18+'ASSOCIAÇÃO RECREAR'!M18+'CRECHE-ESCOLA CASTELO SÃO MANOE'!M18+'CENTRO DE EDUCAÇÃO INFANTIL SÃO'!M18</f>
        <v/>
      </c>
      <c r="E14" s="207">
        <f>'Entrada de Dados'!L2</f>
        <v/>
      </c>
      <c r="F14" s="207">
        <f>D14*E14</f>
        <v/>
      </c>
    </row>
    <row r="15" ht="15" customHeight="1" s="163">
      <c r="A15" s="195">
        <f>'Entrada de Dados'!M5</f>
        <v/>
      </c>
      <c r="B15" s="206">
        <f>'Entrada de Dados'!M197</f>
        <v/>
      </c>
      <c r="C15" s="206">
        <f>'E M ROTARY'!D19+'E M DE EDUCAÇÃO ESPECIAL SANTOS'!D19+'LICEU MUN PREFEITO CORDOLINO AM'!D19+'E M PREFEITO JAMIL SABRÁ'!D19+'LICEU MUNICIPAL CARLOS CHAGAS F'!D19+'E M PAULO FREIRE'!D19+'E M PROFª MARIA CAMPOS DA SILVA'!D19+'CASA DA EDUCAÇÃO VISCONDE DE MA'!D19+'CENTRO DE REFERÊNCIA EM EDUCAÇÃ'!D19+'ESCOLA SANTA LUIZA DE MARILLAC'!D19+'ESCOLA DOMÉSTICA NOSSA SENHORA '!D19+'ESCOLA MONSENHOR GENTIL'!D19+'ESCOLA PAROQUIAL NOSSA SENHORA '!D19+'ESCOLA PAROQUIAL SÃO PEDRO DE A'!D19+'CEI TERRA SANTA'!D19+'CEI PRIMEIRA INFÂNCIA'!D19+'CEI PROFª PATRÍCIA FERREIRA E S'!D19+'CEI DRA ZILDA ARNS NEUMANN'!D19+'CENTRO DE EDUCAÇÃO INFANTIL PRO'!D19+'CEI MONSENHOR PAULO ELIAS DAHER'!D19+'COLÉGIO GUNNAR VINGREN DE PETRÓ'!D19+'EDUCANDÁRIO TERRA SANTA'!D19+'CEI LIONS CLUBE DE PETRÓPOLIS'!D19+'ESCOLA PAROQUIAL NOSSA SENHO 2'!D19+'CENTRO DE EDUCAÇÃO INFANTIL IRM'!D19+'E M LUIZ CARLOS SOARES'!D19+'ESCOLA GERMANO VALENTE'!D19+'ESCOLA PAROQUIAL NOSSA SENHO 3'!D19+'CEI JORGE ROLANDO DA SILVA'!D19+'E M CLEMENTE FERNANDES'!D19+'E M GERALDO VENTURA DIAS'!D19+'ESCOLA DAS COMUNIDADES SANTO AN'!D19+'CEI PROFª ROSANGELA DA SILVA LE'!D19+'CEI DEISE ELOY GOMES'!D19+'CEI PROFª SONIA REGINA SCUDESE '!D19+'CEI TIA ALICE'!D19+'E M BATAILLARD'!D19+'E M SOROPTIMISTA'!D19+'E M SALVADOR KLING'!D19+'ESCOLA MUNICIPALIZADA FREI ANIC'!D19+'ESCOLA SÃO JUDAS TADEU'!D19+'CEI PEDRAS BRANCAS'!D19+'CEI MARIA THEREZA KLING DO VALL'!D19+'CEI DONA ESPERANZA DE BOURBON D'!D19+'CEI GIUSEPPE-NEVA VOLONTERIO'!D19+'CENTRO DE EDUCAÇÃO INFANTIL SÃO'!D19+'E M LEONARDO BOFF'!D19+'ESCOLA MUNICIPAL GENERAL HEITOR'!D19+'E M JOHANN NOEL'!D19+'ESCOLA SANTA MARIA GORETTI'!D19+'ESCOLA SANTA RITA DE CASSIA'!D19+'ESCOLA SÃO JOÃO BATISTA'!D19+'CEI CASA DA SOLIDARIEDADE DE NO'!D19+'CEI A SEMENTEIRA'!D19+'CEI VILA SAO JOSE'!D19+'E M DR RUBENS DE CASTRO BOMTEMP'!D19+'CEI FREI LEÃO'!D19+'CEI SÃO JOÃO BATISTA'!D19+'CEI JURACI PINTO DO AMARAL DE C'!D19+'E M PEDRO AMADO'!D19+'E M ABELARDO DE LAMARE'!D19+'ESCOLA MUNICIPAL SENADOR MARIO '!D19+'ESCOLA PAROQUIAL SÃO PIO X'!D19+'CEI SÃO CHARBEL'!D19+'E M ROSALINA NICOLAY'!D19+'CEI INÊS BELARMINO DE SOUZA'!D19+'E M PROFª MARIA DA GLÓRIA QUEIR'!D19+'CENTRO EDUCACIONAL COMUNIDADE S'!D19+'CEI ROMANO CANAVESE'!D19+'CEI CÉLIA LÔBO PAULO'!D19+'CEI PROFª DORA KILLER'!D19+'CEI ALTO INDEPENDÊNCIA'!D19+'ESCOLA MUNICIPAL ALTO INDEPENDÊ'!D19+'E M PAPA JOÃO PAULO II'!D19+'CEI ANDRÉ REBOUÇAS'!D19+'CEI PROFª HERMÍNIA MATHEUS'!D19+'ESCOLA MUNICIPAL MAJOR JÚLIO FR'!D19+'E M ALMIRANTE TAMANDARÉ'!D19+'ESCOLA PAROQUIAL CARLOS DEMIÁ'!D19+'CENTRO PAROQUIAL DE EDUCAÇÃO IN'!D19+'CEI IRMÃ SILVANA'!D19+'CEI OLÍVIA MACHADO DA COSTA NOG'!D19+'E M GOVERNADOR MARCELLO ALENCAR'!D19+'E M PROFESSOR FLÁVIO MACIEL'!D19+'E M PROFª JANDIRA PEIXOTO BORDI'!D19+'E M STEFAN ZWEIG'!D19+'ESCOLA PAROQUIAL BOM JESUS'!D19+'CEI MARLI SOARES FERREIRA NETTO'!D19+'CENTRO DE EDUCAÇÃO INFANTIL CHI'!D19+'CEI VILA IPANEMA'!D19+'E M ROBERT KENNEDY'!D19+'ESCOLA MUNICIPAL ANA MOHAMMAD'!D19+'ESCOLA SÃO CRISTÓVÃO'!D19+'CEI DÉA LÚCIA CORDEIRO'!D19+'CEI SAGRADA FAMÍLIA'!D19+'CEI SÃO JOSÉ DAS OBLATAS DE NAZ'!D19+'ESCOLA MUNICIPAL JORGE AMADO'!D19+'E M FÁBRICA DO SABER'!D19+'CIEP BRIZOLÃO 474 MAESTRO GUERR'!D19+'CENTRO DE ENSINO PROF DARCY RIB'!D19+'CEI ANDRÉ VANZAN'!D19+'CENTRO DE EDUCAÇÃO INFANTIL CAR'!D19+'CEI BOA VISTA'!D19+'ASSOCIAÇÃO DA CRECHE SÃO FRANCI'!D19+'ESCOLA MUNICIPAL PAULO SALDANHA'!D19+'ESCOLA MUNICIPAL LÚCIA DE ALMEI'!D19+'E M DOM MANOEL PEDRO DA CUNHA C'!D19+'ESCOLA SÃO GERALDO'!D19+'CEI LULU MONTEIRO DE CASTRO'!D19+'CEI CARANGOLA'!D19+'ASSOCIAÇÃO RECREAR'!D19+'CENTRO DE EDUCAÇÃO INFANTIL CAS'!D19+'E M ROSEMIRA DE OLIVEIRA CAVALC'!D19+'E MZDA CARMEM NUNES MARTINS'!D19+'CEI SÃO JOSÉ DO ITAMARATI'!D19+'E M DUQUE DE CAXIAS'!D19+'CENTRO DE EDUCAÇÃO INFANTIL  2'!D19+'E M ANTÔNIO LEITE GARCIA'!D19+'ESCOLA PAROQUIAL DA ALCOBAÇA'!D19+'CENTRO DE EDUCAÇÃO INFANTIL LOT'!D19+'ESCOLA PAROQUIAL DO LOTEAMENTO '!D19+'E M PROF JOAQUIM DEISTER'!D19+'E M MARIETA GONÇALVES'!D19+'ESCOLA MUNICIPAL ODETTE YOUNG M'!D19+'ESCOLA MUNICIPAL PROFESSOR JOSE'!D19+'E M HERCÍLIA HENRIQUES MORET'!D19+'COLEGIO VICENTINO PADRE CORRÊA'!D19+'CEI PROFª MARLUCE DE SOUZA PEST'!D19+'CEI IRINEU MARINHO'!D19+'CEI DAGMAR ROLANDO DE OLIVEIRA'!D19+'CEI NOSSA SENHORA DA GLÓRIA'!D19+'E M PROF NILTON COSTA PEREIRA D'!D19+'CENTRO DE EDUCAÇÃO INFANTIL SÉR'!D19+'CEI SANTO ANTÔNIO AGOSTINHO'!D19+'CEI OSWALDO CRUZ'!D19+'E M MAGDALENA TAGLIAFERRO'!D19+'ESCOLA SÃO JOSÉ DO CAETITU'!D19+'CRECHE-ESCOLA CASTELO SÃO MANOE'!D19+'CEI THEREZINHA DE JESUS LIMA'!D19+'ESCOLA MUNICIPAL PROFESSOR PAUL'!D19+'COLÉGIO ANGLICANO DE ARARAS'!D19+'ESCOLA PAROQUIAL SANTA BERNADET'!D19+'CEI VISTA ALEGRE'!D19+'CEI DENISE BESSA DE OLIVA MAYA'!D19+'CEI VIDEIRINHA'!D19+'E M AMÉRICO FERNANDES RIBEIRO'!D19+'ESCOLA MUNICIPAL AUGUSTO PUGNAL'!D19+'ESCOLA MUNICIPAL CELINA SCHECHN'!D19+'E M DARCY CORREA DA VEIGA'!D19+'E M DR PAULA BUARQUE'!D19+'LICEU SÃO JOSÉ DE ITAIPAVA'!D19+'CEI LUIZ MARCHIORI'!D19+'CENTRO DE EDUCAÇÃO INFANTIL AUG'!D19+'CEI PROFª ADRIANA CONSTÂNCIO TR'!D19+'E M AMÉLIA ANTUNES RABELLO'!D19+'CEI PREFEITO SÉRGIO FADEL'!D19+'E M DR THEODORO MACHADO'!D19+'ESCOLA SANTO ANTÔNIO'!D19+'E M TAQUARIL'!D19+'E M MONSENHOR JOÃO DE DEUS RODR'!D19+'CENTRO DE REFERÊNCIA EM EDUC 2'!D19+'CEI PROFª GRAÇA COSTA'!D19+'CEI VILA LEOPOLDINA'!D19+'CEI NILO PEÇANHA'!D19+'E MZDA SANTA TEREZINHA'!D19+'CEI CRIANÇA SANTA EDWIGES'!D19+'E M ARNALDO DYCKERHOFF'!D19+'E M CARLOS CANEDO'!D19+'E M BEATRIZ ZALESKI'!D19+'E M ANTÔNIO JOSÉ DE LIMA'!D19+'E M FELIX WAN ERVEN DE BARROS'!D19+'ESCOLA MUNICIPAL HILDEBRANDO DE'!D19+'E M OSWALDO DA COSTA FRIAS'!D19+'E MZDA AVELINO DE CARVALHO'!D19+'ESCOLA MUNICIPALIZADA MOYSÉS FU'!D19+'CEI ANGELA MARIA DA CONCEIÇÃO S'!D19+'CEI JOSÉ GONÇALVES DA MOTTA'!D19+'E M DR BARROS FRANCO'!D19+'E M MAJOR THEÓFILO DE CARVALHO'!D19+'E M JOÃO KOPKE'!D19+'CEI ASSOCIAÇÃO BENEFICENTE FAZE'!D19+'ESCOLA SAO FRANCISCO DE ASSIS'!D19+'CEI SÃO FRANCISCO ASSIS'!D19+'CEI ALDEIA DA CRIANCA'!D19+'ESCOLA MUNICIPAL ODETTE FONSECA'!D19+'CEI ANA CAROLINA TELLES'!D19+'E M SEBASTIÃO LACERDA'!D19+'E M DOM PEDRO DE ALCÂNTARA'!D19+'ESCOLA NOSSA SENHORA DE FÁTIMA'!D19+'ESCOLA PAROQUIAL SÃO FRANCISCO '!D19+'E M MONSENHOR CIRILLO CALAON'!D19</f>
        <v/>
      </c>
      <c r="D15" s="206">
        <f>'E M ABELARDO DE LAMARE'!M19+'E M BATAILLARD'!M19+'E M LEONARDO BOFF'!M19+'E M CLEMENTE FERNANDES'!M19+'E M DOM PEDRO DE ALCÂNTARA'!M19+'E M DUQUE DE CAXIAS'!M19+'E M LUIZ CARLOS SOARES'!M19+'ESCOLA MUNICIPAL GENERAL HEITOR'!M19+'E M JOÃO KOPKE'!M19+'ESCOLA MUNICIPAL ODETTE FONSECA'!M19+'E M GOVERNADOR MARCELLO ALENCAR'!M19+'E M PROF JOAQUIM DEISTER'!M19+'E M ROBERT KENNEDY'!M19+'E M ROTARY'!M19+'E M ROSALINA NICOLAY'!M19+'E M DE EDUCAÇÃO ESPECIAL SANTOS'!M19+'E M SOROPTIMISTA'!M19+'LICEU MUN PREFEITO CORDOLINO AM'!M19+'E M ANTÔNIO LEITE GARCIA'!M19+'ESCOLA MUNICIPAL JORGE AMADO'!M19+'ESCOLA MUNICIPAL LÚCIA DE ALMEI'!M19+'E M MAGDALENA TAGLIAFERRO'!M19+'ESCOLA MUNICIPAL MAJOR JÚLIO FR'!M19+'E M MARIETA GONÇALVES'!M19+'ESCOLA MUNICIPAL ODETTE YOUNG M'!M19+'E M FÁBRICA DO SABER'!M19+'ESCOLA MUNICIPAL PROFESSOR PAUL'!M19+'E M ROSEMIRA DE OLIVEIRA CAVALC'!M19+'E M AMÉLIA ANTUNES RABELLO'!M19+'ESCOLA MUNICIPAL AUGUSTO PUGNAL'!M19+'ESCOLA MUNICIPAL CELINA SCHECHN'!M19+'E M DARCY CORREA DA VEIGA'!M19+'E M DR PAULA BUARQUE'!M19+'E M DR THEODORO MACHADO'!M19+'E M ARNALDO DYCKERHOFF'!M19+'E M CARLOS CANEDO'!M19+'E M DR BARROS FRANCO'!M19+'E M MAJOR THEÓFILO DE CARVALHO'!M19+'E M TAQUARIL'!M19+'E M BEATRIZ ZALESKI'!M19+'E M ANTÔNIO JOSÉ DE LIMA'!M19+'E M FELIX WAN ERVEN DE BARROS'!M19+'ESCOLA MUNICIPAL HILDEBRANDO DE'!M19+'E M OSWALDO DA COSTA FRIAS'!M19+'E MZDA CARMEM NUNES MARTINS'!M19+'E MZDA AVELINO DE CARVALHO'!M19+'E M GERALDO VENTURA DIAS'!M19+'E M SALVADOR KLING'!M19+'E M PREFEITO JAMIL SABRÁ'!M19+'LICEU MUNICIPAL CARLOS CHAGAS F'!M19+'ESCOLA MUNICIPAL ANA MOHAMMAD'!M19+'ESCOLA MUNICIPAL ALTO INDEPENDÊ'!M19+'E M ALMIRANTE TAMANDARÉ'!M19+'ESCOLA MUNICIPALIZADA FREI ANIC'!M19+'E M PEDRO AMADO'!M19+'E M PROFª MARIA DA GLÓRIA QUEIR'!M19+'E M SEBASTIÃO LACERDA'!M19+'E M PROFESSOR FLÁVIO MACIEL'!M19+'ESCOLA MUNICIPAL PAULO SALDANHA'!M19+'ESCOLA MUNICIPAL PROFESSOR JOSE'!M19+'E M MONSENHOR CIRILLO CALAON'!M19+'E M AMÉRICO FERNANDES RIBEIRO'!M19+'E M PROFª JANDIRA PEIXOTO BORDI'!M19+'E M MONSENHOR JOÃO DE DEUS RODR'!M19+'E M DOM MANOEL PEDRO DA CUNHA C'!M19+'E M JOHANN NOEL'!M19+'E MZDA SANTA TEREZINHA'!M19+'E M PAPA JOÃO PAULO II'!M19+'E M STEFAN ZWEIG'!M19+'ESCOLA MUNICIPAL SENADOR MARIO '!M19+'E M DR RUBENS DE CASTRO BOMTEMP'!M19+'E M PAULO FREIRE'!M19+'E M PROFª MARIA CAMPOS DA SILVA'!M19+'E M HERCÍLIA HENRIQUES MORET'!M19+'ESCOLA MUNICIPALIZADA MOYSÉS FU'!M19+'CIEP BRIZOLÃO 474 MAESTRO GUERR'!M19+'CENTRO DE ENSINO PROF DARCY RIB'!M19+'CASA DA EDUCAÇÃO VISCONDE DE MA'!M19+'CENTRO DE REFERÊNCIA EM EDUCAÇÃ'!M19+'E M PROF NILTON COSTA PEREIRA D'!M19+'COLÉGIO GUNNAR VINGREN DE PETRÓ'!M19+'CENTRO DE REFERÊNCIA EM EDUC 2'!M19+'ESCOLA SANTA LUIZA DE MARILLAC'!M19+'CENTRO EDUCACIONAL COMUNIDADE S'!M19+'EDUCANDÁRIO TERRA SANTA'!M19+'ESCOLA GERMANO VALENTE'!M19+'ESCOLA DAS COMUNIDADES SANTO AN'!M19+'ESCOLA DOMÉSTICA NOSSA SENHORA '!M19+'ESCOLA PAROQUIAL NOSSA SENHO 3'!M19+'ESCOLA MONSENHOR GENTIL'!M19+'ESCOLA PAROQUIAL BOM JESUS'!M19+'ESCOLA PAROQUIAL CARLOS DEMIÁ'!M19+'ESCOLA PAROQUIAL NOSSA SENHO 2'!M19+'ESCOLA PAROQUIAL NOSSA SENHORA '!M19+'ESCOLA PAROQUIAL SÃO PEDRO DE A'!M19+'ESCOLA SANTA MARIA GORETTI'!M19+'ESCOLA SANTA RITA DE CASSIA'!M19+'ESCOLA SÃO CRISTÓVÃO'!M19+'ESCOLA PAROQUIAL SÃO FRANCISCO '!M19+'ESCOLA SAO FRANCISCO DE ASSIS'!M19+'ESCOLA SÃO JOÃO BATISTA'!M19+'ESCOLA SÃO JUDAS TADEU'!M19+'ESCOLA PAROQUIAL SÃO PIO X'!M19+'COLÉGIO ANGLICANO DE ARARAS'!M19+'COLEGIO VICENTINO PADRE CORRÊA'!M19+'ESCOLA NOSSA SENHORA DE FÁTIMA'!M19+'ESCOLA PAROQUIAL DA ALCOBAÇA'!M19+'ESCOLA PAROQUIAL DO LOTEAMENTO '!M19+'ESCOLA PAROQUIAL SANTA BERNADET'!M19+'ESCOLA SÃO GERALDO'!M19+'ESCOLA SANTO ANTÔNIO'!M19+'LICEU SÃO JOSÉ DE ITAIPAVA'!M19+'ESCOLA SÃO JOSÉ DO CAETITU'!M19+'CEI ASSOCIAÇÃO BENEFICENTE FAZE'!M19+'CEI CASA DA SOLIDARIEDADE DE NO'!M19+'CEI LULU MONTEIRO DE CASTRO'!M19+'CEI SÃO JOÃO BATISTA'!M19+'CEI SÃO FRANCISCO ASSIS'!M19+'CEI A SEMENTEIRA'!M19+'CEI FREI LEÃO'!M19+'CEI ROMANO CANAVESE'!M19+'CEI ANDRÉ VANZAN'!M19+'CEI CRIANÇA SANTA EDWIGES'!M19+'CENTRO DE EDUCAÇÃO INFANTIL IRM'!M19+'CEI PEDRAS BRANCAS'!M19+'CEI INÊS BELARMINO DE SOUZA'!M19+'CEI PROFª ROSANGELA DA SILVA LE'!M19+'CEI VILA SAO JOSE'!M19+'CEI MARIA THEREZA KLING DO VALL'!M19+'CEI DEISE ELOY GOMES'!M19+'CENTRO PAROQUIAL DE EDUCAÇÃO IN'!M19+'CEI VISTA ALEGRE'!M19+'CEI ALDEIA DA CRIANCA'!M19+'CEI DÉA LÚCIA CORDEIRO'!M19+'CENTRO DE EDUCAÇÃO INFANTIL CAR'!M19+'CEI IRMÃ SILVANA'!M19+'CEI MARLI SOARES FERREIRA NETTO'!M19+'CEI PROFª SONIA REGINA SCUDESE '!M19+'CEI DONA ESPERANZA DE BOURBON D'!M19+'CEI PREFEITO SÉRGIO FADEL'!M19+'CEI ANDRÉ REBOUÇAS'!M19+'CENTRO DE EDUCAÇÃO INFANTIL CHI'!M19+'CEI TIA ALICE'!M19+'CEI TERRA SANTA'!M19+'CEI JORGE ROLANDO DA SILVA'!M19+'CEI CARANGOLA'!M19+'CEI CÉLIA LÔBO PAULO'!M19+'CEI LIONS CLUBE DE PETRÓPOLIS'!M19+'CEI PROFª GRAÇA COSTA'!M19+'CEI ANGELA MARIA DA CONCEIÇÃO S'!M19+'CEI LUIZ MARCHIORI'!M19+'CEI PROFª MARLUCE DE SOUZA PEST'!M19+'CEI OLÍVIA MACHADO DA COSTA NOG'!M19+'CEI VILA IPANEMA'!M19+'CEI VILA LEOPOLDINA'!M19+'CENTRO DE EDUCAÇÃO INFANTIL CAS'!M19+'CEI PRIMEIRA INFÂNCIA'!M19+'CEI PROFª DORA KILLER'!M19+'CEI PROFª PATRÍCIA FERREIRA E S'!M19+'CEI DRA ZILDA ARNS NEUMANN'!M19+'CEI DENISE BESSA DE OLIVA MAYA'!M19+'CEI GIUSEPPE-NEVA VOLONTERIO'!M19+'CENTRO DE EDUCAÇÃO INFANTIL LOT'!M19+'CEI IRINEU MARINHO'!M19+'CEI OSWALDO CRUZ'!M19+'CEI ANA CAROLINA TELLES'!M19+'CEI JOSÉ GONÇALVES DA MOTTA'!M19+'CEI SAGRADA FAMÍLIA'!M19+'CEI PROFª HERMÍNIA MATHEUS'!M19+'CENTRO DE EDUCAÇÃO INFANTIL PRO'!M19+'CEI MONSENHOR PAULO ELIAS DAHER'!M19+'CEI DAGMAR ROLANDO DE OLIVEIRA'!M19+'CENTRO DE EDUCAÇÃO INFANTIL  2'!M19+'CEI BOA VISTA'!M19+'CEI NILO PEÇANHA'!M19+'CENTRO DE EDUCAÇÃO INFANTIL AUG'!M19+'CEI THEREZINHA DE JESUS LIMA'!M19+'CEI VIDEIRINHA'!M19+'CEI PROFª ADRIANA CONSTÂNCIO TR'!M19+'CENTRO DE EDUCAÇÃO INFANTIL SÉR'!M19+'CEI JURACI PINTO DO AMARAL DE C'!M19+'CEI NOSSA SENHORA DA GLÓRIA'!M19+'CEI ALTO INDEPENDÊNCIA'!M19+'CEI SÃO JOSÉ DAS OBLATAS DE NAZ'!M19+'CEI SANTO ANTÔNIO AGOSTINHO'!M19+'CEI SÃO CHARBEL'!M19+'ASSOCIAÇÃO DA CRECHE SÃO FRANCI'!M19+'CEI SÃO JOSÉ DO ITAMARATI'!M19+'ASSOCIAÇÃO RECREAR'!M19+'CRECHE-ESCOLA CASTELO SÃO MANOE'!M19+'CENTRO DE EDUCAÇÃO INFANTIL SÃO'!M19</f>
        <v/>
      </c>
      <c r="E15" s="207">
        <f>'Entrada de Dados'!M2</f>
        <v/>
      </c>
      <c r="F15" s="207">
        <f>D15*E15</f>
        <v/>
      </c>
    </row>
    <row r="16" ht="15" customHeight="1" s="163">
      <c r="A16" s="195">
        <f>'Entrada de Dados'!N5</f>
        <v/>
      </c>
      <c r="B16" s="206">
        <f>'Entrada de Dados'!N197</f>
        <v/>
      </c>
      <c r="C16" s="206">
        <f>'E M ROTARY'!D20+'E M DE EDUCAÇÃO ESPECIAL SANTOS'!D20+'LICEU MUN PREFEITO CORDOLINO AM'!D20+'E M PREFEITO JAMIL SABRÁ'!D20+'LICEU MUNICIPAL CARLOS CHAGAS F'!D20+'E M PAULO FREIRE'!D20+'E M PROFª MARIA CAMPOS DA SILVA'!D20+'CASA DA EDUCAÇÃO VISCONDE DE MA'!D20+'CENTRO DE REFERÊNCIA EM EDUCAÇÃ'!D20+'ESCOLA SANTA LUIZA DE MARILLAC'!D20+'ESCOLA DOMÉSTICA NOSSA SENHORA '!D20+'ESCOLA MONSENHOR GENTIL'!D20+'ESCOLA PAROQUIAL NOSSA SENHORA '!D20+'ESCOLA PAROQUIAL SÃO PEDRO DE A'!D20+'CEI TERRA SANTA'!D20+'CEI PRIMEIRA INFÂNCIA'!D20+'CEI PROFª PATRÍCIA FERREIRA E S'!D20+'CEI DRA ZILDA ARNS NEUMANN'!D20+'CENTRO DE EDUCAÇÃO INFANTIL PRO'!D20+'CEI MONSENHOR PAULO ELIAS DAHER'!D20+'COLÉGIO GUNNAR VINGREN DE PETRÓ'!D20+'EDUCANDÁRIO TERRA SANTA'!D20+'CEI LIONS CLUBE DE PETRÓPOLIS'!D20+'ESCOLA PAROQUIAL NOSSA SENHO 2'!D20+'CENTRO DE EDUCAÇÃO INFANTIL IRM'!D20+'E M LUIZ CARLOS SOARES'!D20+'ESCOLA GERMANO VALENTE'!D20+'ESCOLA PAROQUIAL NOSSA SENHO 3'!D20+'CEI JORGE ROLANDO DA SILVA'!D20+'E M CLEMENTE FERNANDES'!D20+'E M GERALDO VENTURA DIAS'!D20+'ESCOLA DAS COMUNIDADES SANTO AN'!D20+'CEI PROFª ROSANGELA DA SILVA LE'!D20+'CEI DEISE ELOY GOMES'!D20+'CEI PROFª SONIA REGINA SCUDESE '!D20+'CEI TIA ALICE'!D20+'E M BATAILLARD'!D20+'E M SOROPTIMISTA'!D20+'E M SALVADOR KLING'!D20+'ESCOLA MUNICIPALIZADA FREI ANIC'!D20+'ESCOLA SÃO JUDAS TADEU'!D20+'CEI PEDRAS BRANCAS'!D20+'CEI MARIA THEREZA KLING DO VALL'!D20+'CEI DONA ESPERANZA DE BOURBON D'!D20+'CEI GIUSEPPE-NEVA VOLONTERIO'!D20+'CENTRO DE EDUCAÇÃO INFANTIL SÃO'!D20+'E M LEONARDO BOFF'!D20+'ESCOLA MUNICIPAL GENERAL HEITOR'!D20+'E M JOHANN NOEL'!D20+'ESCOLA SANTA MARIA GORETTI'!D20+'ESCOLA SANTA RITA DE CASSIA'!D20+'ESCOLA SÃO JOÃO BATISTA'!D20+'CEI CASA DA SOLIDARIEDADE DE NO'!D20+'CEI A SEMENTEIRA'!D20+'CEI VILA SAO JOSE'!D20+'E M DR RUBENS DE CASTRO BOMTEMP'!D20+'CEI FREI LEÃO'!D20+'CEI SÃO JOÃO BATISTA'!D20+'CEI JURACI PINTO DO AMARAL DE C'!D20+'E M PEDRO AMADO'!D20+'E M ABELARDO DE LAMARE'!D20+'ESCOLA MUNICIPAL SENADOR MARIO '!D20+'ESCOLA PAROQUIAL SÃO PIO X'!D20+'CEI SÃO CHARBEL'!D20+'E M ROSALINA NICOLAY'!D20+'CEI INÊS BELARMINO DE SOUZA'!D20+'E M PROFª MARIA DA GLÓRIA QUEIR'!D20+'CENTRO EDUCACIONAL COMUNIDADE S'!D20+'CEI ROMANO CANAVESE'!D20+'CEI CÉLIA LÔBO PAULO'!D20+'CEI PROFª DORA KILLER'!D20+'CEI ALTO INDEPENDÊNCIA'!D20+'ESCOLA MUNICIPAL ALTO INDEPENDÊ'!D20+'E M PAPA JOÃO PAULO II'!D20+'CEI ANDRÉ REBOUÇAS'!D20+'CEI PROFª HERMÍNIA MATHEUS'!D20+'ESCOLA MUNICIPAL MAJOR JÚLIO FR'!D20+'E M ALMIRANTE TAMANDARÉ'!D20+'ESCOLA PAROQUIAL CARLOS DEMIÁ'!D20+'CENTRO PAROQUIAL DE EDUCAÇÃO IN'!D20+'CEI IRMÃ SILVANA'!D20+'CEI OLÍVIA MACHADO DA COSTA NOG'!D20+'E M GOVERNADOR MARCELLO ALENCAR'!D20+'E M PROFESSOR FLÁVIO MACIEL'!D20+'E M PROFª JANDIRA PEIXOTO BORDI'!D20+'E M STEFAN ZWEIG'!D20+'ESCOLA PAROQUIAL BOM JESUS'!D20+'CEI MARLI SOARES FERREIRA NETTO'!D20+'CENTRO DE EDUCAÇÃO INFANTIL CHI'!D20+'CEI VILA IPANEMA'!D20+'E M ROBERT KENNEDY'!D20+'ESCOLA MUNICIPAL ANA MOHAMMAD'!D20+'ESCOLA SÃO CRISTÓVÃO'!D20+'CEI DÉA LÚCIA CORDEIRO'!D20+'CEI SAGRADA FAMÍLIA'!D20+'CEI SÃO JOSÉ DAS OBLATAS DE NAZ'!D20+'ESCOLA MUNICIPAL JORGE AMADO'!D20+'E M FÁBRICA DO SABER'!D20+'CIEP BRIZOLÃO 474 MAESTRO GUERR'!D20+'CENTRO DE ENSINO PROF DARCY RIB'!D20+'CEI ANDRÉ VANZAN'!D20+'CENTRO DE EDUCAÇÃO INFANTIL CAR'!D20+'CEI BOA VISTA'!D20+'ASSOCIAÇÃO DA CRECHE SÃO FRANCI'!D20+'ESCOLA MUNICIPAL PAULO SALDANHA'!D20+'ESCOLA MUNICIPAL LÚCIA DE ALMEI'!D20+'E M DOM MANOEL PEDRO DA CUNHA C'!D20+'ESCOLA SÃO GERALDO'!D20+'CEI LULU MONTEIRO DE CASTRO'!D20+'CEI CARANGOLA'!D20+'ASSOCIAÇÃO RECREAR'!D20+'CENTRO DE EDUCAÇÃO INFANTIL CAS'!D20+'E M ROSEMIRA DE OLIVEIRA CAVALC'!D20+'E MZDA CARMEM NUNES MARTINS'!D20+'CEI SÃO JOSÉ DO ITAMARATI'!D20+'E M DUQUE DE CAXIAS'!D20+'CENTRO DE EDUCAÇÃO INFANTIL  2'!D20+'E M ANTÔNIO LEITE GARCIA'!D20+'ESCOLA PAROQUIAL DA ALCOBAÇA'!D20+'CENTRO DE EDUCAÇÃO INFANTIL LOT'!D20+'ESCOLA PAROQUIAL DO LOTEAMENTO '!D20+'E M PROF JOAQUIM DEISTER'!D20+'E M MARIETA GONÇALVES'!D20+'ESCOLA MUNICIPAL ODETTE YOUNG M'!D20+'ESCOLA MUNICIPAL PROFESSOR JOSE'!D20+'E M HERCÍLIA HENRIQUES MORET'!D20+'COLEGIO VICENTINO PADRE CORRÊA'!D20+'CEI PROFª MARLUCE DE SOUZA PEST'!D20+'CEI IRINEU MARINHO'!D20+'CEI DAGMAR ROLANDO DE OLIVEIRA'!D20+'CEI NOSSA SENHORA DA GLÓRIA'!D20+'E M PROF NILTON COSTA PEREIRA D'!D20+'CENTRO DE EDUCAÇÃO INFANTIL SÉR'!D20+'CEI SANTO ANTÔNIO AGOSTINHO'!D20+'CEI OSWALDO CRUZ'!D20+'E M MAGDALENA TAGLIAFERRO'!D20+'ESCOLA SÃO JOSÉ DO CAETITU'!D20+'CRECHE-ESCOLA CASTELO SÃO MANOE'!D20+'CEI THEREZINHA DE JESUS LIMA'!D20+'ESCOLA MUNICIPAL PROFESSOR PAUL'!D20+'COLÉGIO ANGLICANO DE ARARAS'!D20+'ESCOLA PAROQUIAL SANTA BERNADET'!D20+'CEI VISTA ALEGRE'!D20+'CEI DENISE BESSA DE OLIVA MAYA'!D20+'CEI VIDEIRINHA'!D20+'E M AMÉRICO FERNANDES RIBEIRO'!D20+'ESCOLA MUNICIPAL AUGUSTO PUGNAL'!D20+'ESCOLA MUNICIPAL CELINA SCHECHN'!D20+'E M DARCY CORREA DA VEIGA'!D20+'E M DR PAULA BUARQUE'!D20+'LICEU SÃO JOSÉ DE ITAIPAVA'!D20+'CEI LUIZ MARCHIORI'!D20+'CENTRO DE EDUCAÇÃO INFANTIL AUG'!D20+'CEI PROFª ADRIANA CONSTÂNCIO TR'!D20+'E M AMÉLIA ANTUNES RABELLO'!D20+'CEI PREFEITO SÉRGIO FADEL'!D20+'E M DR THEODORO MACHADO'!D20+'ESCOLA SANTO ANTÔNIO'!D20+'E M TAQUARIL'!D20+'E M MONSENHOR JOÃO DE DEUS RODR'!D20+'CENTRO DE REFERÊNCIA EM EDUC 2'!D20+'CEI PROFª GRAÇA COSTA'!D20+'CEI VILA LEOPOLDINA'!D20+'CEI NILO PEÇANHA'!D20+'E MZDA SANTA TEREZINHA'!D20+'CEI CRIANÇA SANTA EDWIGES'!D20+'E M ARNALDO DYCKERHOFF'!D20+'E M CARLOS CANEDO'!D20+'E M BEATRIZ ZALESKI'!D20+'E M ANTÔNIO JOSÉ DE LIMA'!D20+'E M FELIX WAN ERVEN DE BARROS'!D20+'ESCOLA MUNICIPAL HILDEBRANDO DE'!D20+'E M OSWALDO DA COSTA FRIAS'!D20+'E MZDA AVELINO DE CARVALHO'!D20+'ESCOLA MUNICIPALIZADA MOYSÉS FU'!D20+'CEI ANGELA MARIA DA CONCEIÇÃO S'!D20+'CEI JOSÉ GONÇALVES DA MOTTA'!D20+'E M DR BARROS FRANCO'!D20+'E M MAJOR THEÓFILO DE CARVALHO'!D20+'E M JOÃO KOPKE'!D20+'CEI ASSOCIAÇÃO BENEFICENTE FAZE'!D20+'ESCOLA SAO FRANCISCO DE ASSIS'!D20+'CEI SÃO FRANCISCO ASSIS'!D20+'CEI ALDEIA DA CRIANCA'!D20+'ESCOLA MUNICIPAL ODETTE FONSECA'!D20+'CEI ANA CAROLINA TELLES'!D20+'E M SEBASTIÃO LACERDA'!D20+'E M DOM PEDRO DE ALCÂNTARA'!D20+'ESCOLA NOSSA SENHORA DE FÁTIMA'!D20+'ESCOLA PAROQUIAL SÃO FRANCISCO '!D20+'E M MONSENHOR CIRILLO CALAON'!D20</f>
        <v/>
      </c>
      <c r="D16" s="206">
        <f>'E M ABELARDO DE LAMARE'!M20+'E M BATAILLARD'!M20+'E M LEONARDO BOFF'!M20+'E M CLEMENTE FERNANDES'!M20+'E M DOM PEDRO DE ALCÂNTARA'!M20+'E M DUQUE DE CAXIAS'!M20+'E M LUIZ CARLOS SOARES'!M20+'ESCOLA MUNICIPAL GENERAL HEITOR'!M20+'E M JOÃO KOPKE'!M20+'ESCOLA MUNICIPAL ODETTE FONSECA'!M20+'E M GOVERNADOR MARCELLO ALENCAR'!M20+'E M PROF JOAQUIM DEISTER'!M20+'E M ROBERT KENNEDY'!M20+'E M ROTARY'!M20+'E M ROSALINA NICOLAY'!M20+'E M DE EDUCAÇÃO ESPECIAL SANTOS'!M20+'E M SOROPTIMISTA'!M20+'LICEU MUN PREFEITO CORDOLINO AM'!M20+'E M ANTÔNIO LEITE GARCIA'!M20+'ESCOLA MUNICIPAL JORGE AMADO'!M20+'ESCOLA MUNICIPAL LÚCIA DE ALMEI'!M20+'E M MAGDALENA TAGLIAFERRO'!M20+'ESCOLA MUNICIPAL MAJOR JÚLIO FR'!M20+'E M MARIETA GONÇALVES'!M20+'ESCOLA MUNICIPAL ODETTE YOUNG M'!M20+'E M FÁBRICA DO SABER'!M20+'ESCOLA MUNICIPAL PROFESSOR PAUL'!M20+'E M ROSEMIRA DE OLIVEIRA CAVALC'!M20+'E M AMÉLIA ANTUNES RABELLO'!M20+'ESCOLA MUNICIPAL AUGUSTO PUGNAL'!M20+'ESCOLA MUNICIPAL CELINA SCHECHN'!M20+'E M DARCY CORREA DA VEIGA'!M20+'E M DR PAULA BUARQUE'!M20+'E M DR THEODORO MACHADO'!M20+'E M ARNALDO DYCKERHOFF'!M20+'E M CARLOS CANEDO'!M20+'E M DR BARROS FRANCO'!M20+'E M MAJOR THEÓFILO DE CARVALHO'!M20+'E M TAQUARIL'!M20+'E M BEATRIZ ZALESKI'!M20+'E M ANTÔNIO JOSÉ DE LIMA'!M20+'E M FELIX WAN ERVEN DE BARROS'!M20+'ESCOLA MUNICIPAL HILDEBRANDO DE'!M20+'E M OSWALDO DA COSTA FRIAS'!M20+'E MZDA CARMEM NUNES MARTINS'!M20+'E MZDA AVELINO DE CARVALHO'!M20+'E M GERALDO VENTURA DIAS'!M20+'E M SALVADOR KLING'!M20+'E M PREFEITO JAMIL SABRÁ'!M20+'LICEU MUNICIPAL CARLOS CHAGAS F'!M20+'ESCOLA MUNICIPAL ANA MOHAMMAD'!M20+'ESCOLA MUNICIPAL ALTO INDEPENDÊ'!M20+'E M ALMIRANTE TAMANDARÉ'!M20+'ESCOLA MUNICIPALIZADA FREI ANIC'!M20+'E M PEDRO AMADO'!M20+'E M PROFª MARIA DA GLÓRIA QUEIR'!M20+'E M SEBASTIÃO LACERDA'!M20+'E M PROFESSOR FLÁVIO MACIEL'!M20+'ESCOLA MUNICIPAL PAULO SALDANHA'!M20+'ESCOLA MUNICIPAL PROFESSOR JOSE'!M20+'E M MONSENHOR CIRILLO CALAON'!M20+'E M AMÉRICO FERNANDES RIBEIRO'!M20+'E M PROFª JANDIRA PEIXOTO BORDI'!M20+'E M MONSENHOR JOÃO DE DEUS RODR'!M20+'E M DOM MANOEL PEDRO DA CUNHA C'!M20+'E M JOHANN NOEL'!M20+'E MZDA SANTA TEREZINHA'!M20+'E M PAPA JOÃO PAULO II'!M20+'E M STEFAN ZWEIG'!M20+'ESCOLA MUNICIPAL SENADOR MARIO '!M20+'E M DR RUBENS DE CASTRO BOMTEMP'!M20+'E M PAULO FREIRE'!M20+'E M PROFª MARIA CAMPOS DA SILVA'!M20+'E M HERCÍLIA HENRIQUES MORET'!M20+'ESCOLA MUNICIPALIZADA MOYSÉS FU'!M20+'CIEP BRIZOLÃO 474 MAESTRO GUERR'!M20+'CENTRO DE ENSINO PROF DARCY RIB'!M20+'CASA DA EDUCAÇÃO VISCONDE DE MA'!M20+'CENTRO DE REFERÊNCIA EM EDUCAÇÃ'!M20+'E M PROF NILTON COSTA PEREIRA D'!M20+'COLÉGIO GUNNAR VINGREN DE PETRÓ'!M20+'CENTRO DE REFERÊNCIA EM EDUC 2'!M20+'ESCOLA SANTA LUIZA DE MARILLAC'!M20+'CENTRO EDUCACIONAL COMUNIDADE S'!M20+'EDUCANDÁRIO TERRA SANTA'!M20+'ESCOLA GERMANO VALENTE'!M20+'ESCOLA DAS COMUNIDADES SANTO AN'!M20+'ESCOLA DOMÉSTICA NOSSA SENHORA '!M20+'ESCOLA PAROQUIAL NOSSA SENHO 3'!M20+'ESCOLA MONSENHOR GENTIL'!M20+'ESCOLA PAROQUIAL BOM JESUS'!M20+'ESCOLA PAROQUIAL CARLOS DEMIÁ'!M20+'ESCOLA PAROQUIAL NOSSA SENHO 2'!M20+'ESCOLA PAROQUIAL NOSSA SENHORA '!M20+'ESCOLA PAROQUIAL SÃO PEDRO DE A'!M20+'ESCOLA SANTA MARIA GORETTI'!M20+'ESCOLA SANTA RITA DE CASSIA'!M20+'ESCOLA SÃO CRISTÓVÃO'!M20+'ESCOLA PAROQUIAL SÃO FRANCISCO '!M20+'ESCOLA SAO FRANCISCO DE ASSIS'!M20+'ESCOLA SÃO JOÃO BATISTA'!M20+'ESCOLA SÃO JUDAS TADEU'!M20+'ESCOLA PAROQUIAL SÃO PIO X'!M20+'COLÉGIO ANGLICANO DE ARARAS'!M20+'COLEGIO VICENTINO PADRE CORRÊA'!M20+'ESCOLA NOSSA SENHORA DE FÁTIMA'!M20+'ESCOLA PAROQUIAL DA ALCOBAÇA'!M20+'ESCOLA PAROQUIAL DO LOTEAMENTO '!M20+'ESCOLA PAROQUIAL SANTA BERNADET'!M20+'ESCOLA SÃO GERALDO'!M20+'ESCOLA SANTO ANTÔNIO'!M20+'LICEU SÃO JOSÉ DE ITAIPAVA'!M20+'ESCOLA SÃO JOSÉ DO CAETITU'!M20+'CEI ASSOCIAÇÃO BENEFICENTE FAZE'!M20+'CEI CASA DA SOLIDARIEDADE DE NO'!M20+'CEI LULU MONTEIRO DE CASTRO'!M20+'CEI SÃO JOÃO BATISTA'!M20+'CEI SÃO FRANCISCO ASSIS'!M20+'CEI A SEMENTEIRA'!M20+'CEI FREI LEÃO'!M20+'CEI ROMANO CANAVESE'!M20+'CEI ANDRÉ VANZAN'!M20+'CEI CRIANÇA SANTA EDWIGES'!M20+'CENTRO DE EDUCAÇÃO INFANTIL IRM'!M20+'CEI PEDRAS BRANCAS'!M20+'CEI INÊS BELARMINO DE SOUZA'!M20+'CEI PROFª ROSANGELA DA SILVA LE'!M20+'CEI VILA SAO JOSE'!M20+'CEI MARIA THEREZA KLING DO VALL'!M20+'CEI DEISE ELOY GOMES'!M20+'CENTRO PAROQUIAL DE EDUCAÇÃO IN'!M20+'CEI VISTA ALEGRE'!M20+'CEI ALDEIA DA CRIANCA'!M20+'CEI DÉA LÚCIA CORDEIRO'!M20+'CENTRO DE EDUCAÇÃO INFANTIL CAR'!M20+'CEI IRMÃ SILVANA'!M20+'CEI MARLI SOARES FERREIRA NETTO'!M20+'CEI PROFª SONIA REGINA SCUDESE '!M20+'CEI DONA ESPERANZA DE BOURBON D'!M20+'CEI PREFEITO SÉRGIO FADEL'!M20+'CEI ANDRÉ REBOUÇAS'!M20+'CENTRO DE EDUCAÇÃO INFANTIL CHI'!M20+'CEI TIA ALICE'!M20+'CEI TERRA SANTA'!M20+'CEI JORGE ROLANDO DA SILVA'!M20+'CEI CARANGOLA'!M20+'CEI CÉLIA LÔBO PAULO'!M20+'CEI LIONS CLUBE DE PETRÓPOLIS'!M20+'CEI PROFª GRAÇA COSTA'!M20+'CEI ANGELA MARIA DA CONCEIÇÃO S'!M20+'CEI LUIZ MARCHIORI'!M20+'CEI PROFª MARLUCE DE SOUZA PEST'!M20+'CEI OLÍVIA MACHADO DA COSTA NOG'!M20+'CEI VILA IPANEMA'!M20+'CEI VILA LEOPOLDINA'!M20+'CENTRO DE EDUCAÇÃO INFANTIL CAS'!M20+'CEI PRIMEIRA INFÂNCIA'!M20+'CEI PROFª DORA KILLER'!M20+'CEI PROFª PATRÍCIA FERREIRA E S'!M20+'CEI DRA ZILDA ARNS NEUMANN'!M20+'CEI DENISE BESSA DE OLIVA MAYA'!M20+'CEI GIUSEPPE-NEVA VOLONTERIO'!M20+'CENTRO DE EDUCAÇÃO INFANTIL LOT'!M20+'CEI IRINEU MARINHO'!M20+'CEI OSWALDO CRUZ'!M20+'CEI ANA CAROLINA TELLES'!M20+'CEI JOSÉ GONÇALVES DA MOTTA'!M20+'CEI SAGRADA FAMÍLIA'!M20+'CEI PROFª HERMÍNIA MATHEUS'!M20+'CENTRO DE EDUCAÇÃO INFANTIL PRO'!M20+'CEI MONSENHOR PAULO ELIAS DAHER'!M20+'CEI DAGMAR ROLANDO DE OLIVEIRA'!M20+'CENTRO DE EDUCAÇÃO INFANTIL  2'!M20+'CEI BOA VISTA'!M20+'CEI NILO PEÇANHA'!M20+'CENTRO DE EDUCAÇÃO INFANTIL AUG'!M20+'CEI THEREZINHA DE JESUS LIMA'!M20+'CEI VIDEIRINHA'!M20+'CEI PROFª ADRIANA CONSTÂNCIO TR'!M20+'CENTRO DE EDUCAÇÃO INFANTIL SÉR'!M20+'CEI JURACI PINTO DO AMARAL DE C'!M20+'CEI NOSSA SENHORA DA GLÓRIA'!M20+'CEI ALTO INDEPENDÊNCIA'!M20+'CEI SÃO JOSÉ DAS OBLATAS DE NAZ'!M20+'CEI SANTO ANTÔNIO AGOSTINHO'!M20+'CEI SÃO CHARBEL'!M20+'ASSOCIAÇÃO DA CRECHE SÃO FRANCI'!M20+'CEI SÃO JOSÉ DO ITAMARATI'!M20+'ASSOCIAÇÃO RECREAR'!M20+'CRECHE-ESCOLA CASTELO SÃO MANOE'!M20+'CENTRO DE EDUCAÇÃO INFANTIL SÃO'!M20</f>
        <v/>
      </c>
      <c r="E16" s="207">
        <f>'Entrada de Dados'!N2</f>
        <v/>
      </c>
      <c r="F16" s="207">
        <f>D16*E16</f>
        <v/>
      </c>
    </row>
    <row r="17" ht="15" customHeight="1" s="163">
      <c r="A17" s="195">
        <f>'Entrada de Dados'!O5</f>
        <v/>
      </c>
      <c r="B17" s="206">
        <f>'Entrada de Dados'!O197</f>
        <v/>
      </c>
      <c r="C17" s="206">
        <f>'E M ROTARY'!D21+'E M DE EDUCAÇÃO ESPECIAL SANTOS'!D21+'LICEU MUN PREFEITO CORDOLINO AM'!D21+'E M PREFEITO JAMIL SABRÁ'!D21+'LICEU MUNICIPAL CARLOS CHAGAS F'!D21+'E M PAULO FREIRE'!D21+'E M PROFª MARIA CAMPOS DA SILVA'!D21+'CASA DA EDUCAÇÃO VISCONDE DE MA'!D21+'CENTRO DE REFERÊNCIA EM EDUCAÇÃ'!D21+'ESCOLA SANTA LUIZA DE MARILLAC'!D21+'ESCOLA DOMÉSTICA NOSSA SENHORA '!D21+'ESCOLA MONSENHOR GENTIL'!D21+'ESCOLA PAROQUIAL NOSSA SENHORA '!D21+'ESCOLA PAROQUIAL SÃO PEDRO DE A'!D21+'CEI TERRA SANTA'!D21+'CEI PRIMEIRA INFÂNCIA'!D21+'CEI PROFª PATRÍCIA FERREIRA E S'!D21+'CEI DRA ZILDA ARNS NEUMANN'!D21+'CENTRO DE EDUCAÇÃO INFANTIL PRO'!D21+'CEI MONSENHOR PAULO ELIAS DAHER'!D21+'COLÉGIO GUNNAR VINGREN DE PETRÓ'!D21+'EDUCANDÁRIO TERRA SANTA'!D21+'CEI LIONS CLUBE DE PETRÓPOLIS'!D21+'ESCOLA PAROQUIAL NOSSA SENHO 2'!D21+'CENTRO DE EDUCAÇÃO INFANTIL IRM'!D21+'E M LUIZ CARLOS SOARES'!D21+'ESCOLA GERMANO VALENTE'!D21+'ESCOLA PAROQUIAL NOSSA SENHO 3'!D21+'CEI JORGE ROLANDO DA SILVA'!D21+'E M CLEMENTE FERNANDES'!D21+'E M GERALDO VENTURA DIAS'!D21+'ESCOLA DAS COMUNIDADES SANTO AN'!D21+'CEI PROFª ROSANGELA DA SILVA LE'!D21+'CEI DEISE ELOY GOMES'!D21+'CEI PROFª SONIA REGINA SCUDESE '!D21+'CEI TIA ALICE'!D21+'E M BATAILLARD'!D21+'E M SOROPTIMISTA'!D21+'E M SALVADOR KLING'!D21+'ESCOLA MUNICIPALIZADA FREI ANIC'!D21+'ESCOLA SÃO JUDAS TADEU'!D21+'CEI PEDRAS BRANCAS'!D21+'CEI MARIA THEREZA KLING DO VALL'!D21+'CEI DONA ESPERANZA DE BOURBON D'!D21+'CEI GIUSEPPE-NEVA VOLONTERIO'!D21+'CENTRO DE EDUCAÇÃO INFANTIL SÃO'!D21+'E M LEONARDO BOFF'!D21+'ESCOLA MUNICIPAL GENERAL HEITOR'!D21+'E M JOHANN NOEL'!D21+'ESCOLA SANTA MARIA GORETTI'!D21+'ESCOLA SANTA RITA DE CASSIA'!D21+'ESCOLA SÃO JOÃO BATISTA'!D21+'CEI CASA DA SOLIDARIEDADE DE NO'!D21+'CEI A SEMENTEIRA'!D21+'CEI VILA SAO JOSE'!D21+'E M DR RUBENS DE CASTRO BOMTEMP'!D21+'CEI FREI LEÃO'!D21+'CEI SÃO JOÃO BATISTA'!D21+'CEI JURACI PINTO DO AMARAL DE C'!D21+'E M PEDRO AMADO'!D21+'E M ABELARDO DE LAMARE'!D21+'ESCOLA MUNICIPAL SENADOR MARIO '!D21+'ESCOLA PAROQUIAL SÃO PIO X'!D21+'CEI SÃO CHARBEL'!D21+'E M ROSALINA NICOLAY'!D21+'CEI INÊS BELARMINO DE SOUZA'!D21+'E M PROFª MARIA DA GLÓRIA QUEIR'!D21+'CENTRO EDUCACIONAL COMUNIDADE S'!D21+'CEI ROMANO CANAVESE'!D21+'CEI CÉLIA LÔBO PAULO'!D21+'CEI PROFª DORA KILLER'!D21+'CEI ALTO INDEPENDÊNCIA'!D21+'ESCOLA MUNICIPAL ALTO INDEPENDÊ'!D21+'E M PAPA JOÃO PAULO II'!D21+'CEI ANDRÉ REBOUÇAS'!D21+'CEI PROFª HERMÍNIA MATHEUS'!D21+'ESCOLA MUNICIPAL MAJOR JÚLIO FR'!D21+'E M ALMIRANTE TAMANDARÉ'!D21+'ESCOLA PAROQUIAL CARLOS DEMIÁ'!D21+'CENTRO PAROQUIAL DE EDUCAÇÃO IN'!D21+'CEI IRMÃ SILVANA'!D21+'CEI OLÍVIA MACHADO DA COSTA NOG'!D21+'E M GOVERNADOR MARCELLO ALENCAR'!D21+'E M PROFESSOR FLÁVIO MACIEL'!D21+'E M PROFª JANDIRA PEIXOTO BORDI'!D21+'E M STEFAN ZWEIG'!D21+'ESCOLA PAROQUIAL BOM JESUS'!D21+'CEI MARLI SOARES FERREIRA NETTO'!D21+'CENTRO DE EDUCAÇÃO INFANTIL CHI'!D21+'CEI VILA IPANEMA'!D21+'E M ROBERT KENNEDY'!D21+'ESCOLA MUNICIPAL ANA MOHAMMAD'!D21+'ESCOLA SÃO CRISTÓVÃO'!D21+'CEI DÉA LÚCIA CORDEIRO'!D21+'CEI SAGRADA FAMÍLIA'!D21+'CEI SÃO JOSÉ DAS OBLATAS DE NAZ'!D21+'ESCOLA MUNICIPAL JORGE AMADO'!D21+'E M FÁBRICA DO SABER'!D21+'CIEP BRIZOLÃO 474 MAESTRO GUERR'!D21+'CENTRO DE ENSINO PROF DARCY RIB'!D21+'CEI ANDRÉ VANZAN'!D21+'CENTRO DE EDUCAÇÃO INFANTIL CAR'!D21+'CEI BOA VISTA'!D21+'ASSOCIAÇÃO DA CRECHE SÃO FRANCI'!D21+'ESCOLA MUNICIPAL PAULO SALDANHA'!D21+'ESCOLA MUNICIPAL LÚCIA DE ALMEI'!D21+'E M DOM MANOEL PEDRO DA CUNHA C'!D21+'ESCOLA SÃO GERALDO'!D21+'CEI LULU MONTEIRO DE CASTRO'!D21+'CEI CARANGOLA'!D21+'ASSOCIAÇÃO RECREAR'!D21+'CENTRO DE EDUCAÇÃO INFANTIL CAS'!D21+'E M ROSEMIRA DE OLIVEIRA CAVALC'!D21+'E MZDA CARMEM NUNES MARTINS'!D21+'CEI SÃO JOSÉ DO ITAMARATI'!D21+'E M DUQUE DE CAXIAS'!D21+'CENTRO DE EDUCAÇÃO INFANTIL  2'!D21+'E M ANTÔNIO LEITE GARCIA'!D21+'ESCOLA PAROQUIAL DA ALCOBAÇA'!D21+'CENTRO DE EDUCAÇÃO INFANTIL LOT'!D21+'ESCOLA PAROQUIAL DO LOTEAMENTO '!D21+'E M PROF JOAQUIM DEISTER'!D21+'E M MARIETA GONÇALVES'!D21+'ESCOLA MUNICIPAL ODETTE YOUNG M'!D21+'ESCOLA MUNICIPAL PROFESSOR JOSE'!D21+'E M HERCÍLIA HENRIQUES MORET'!D21+'COLEGIO VICENTINO PADRE CORRÊA'!D21+'CEI PROFª MARLUCE DE SOUZA PEST'!D21+'CEI IRINEU MARINHO'!D21+'CEI DAGMAR ROLANDO DE OLIVEIRA'!D21+'CEI NOSSA SENHORA DA GLÓRIA'!D21+'E M PROF NILTON COSTA PEREIRA D'!D21+'CENTRO DE EDUCAÇÃO INFANTIL SÉR'!D21+'CEI SANTO ANTÔNIO AGOSTINHO'!D21+'CEI OSWALDO CRUZ'!D21+'E M MAGDALENA TAGLIAFERRO'!D21+'ESCOLA SÃO JOSÉ DO CAETITU'!D21+'CRECHE-ESCOLA CASTELO SÃO MANOE'!D21+'CEI THEREZINHA DE JESUS LIMA'!D21+'ESCOLA MUNICIPAL PROFESSOR PAUL'!D21+'COLÉGIO ANGLICANO DE ARARAS'!D21+'ESCOLA PAROQUIAL SANTA BERNADET'!D21+'CEI VISTA ALEGRE'!D21+'CEI DENISE BESSA DE OLIVA MAYA'!D21+'CEI VIDEIRINHA'!D21+'E M AMÉRICO FERNANDES RIBEIRO'!D21+'ESCOLA MUNICIPAL AUGUSTO PUGNAL'!D21+'ESCOLA MUNICIPAL CELINA SCHECHN'!D21+'E M DARCY CORREA DA VEIGA'!D21+'E M DR PAULA BUARQUE'!D21+'LICEU SÃO JOSÉ DE ITAIPAVA'!D21+'CEI LUIZ MARCHIORI'!D21+'CENTRO DE EDUCAÇÃO INFANTIL AUG'!D21+'CEI PROFª ADRIANA CONSTÂNCIO TR'!D21+'E M AMÉLIA ANTUNES RABELLO'!D21+'CEI PREFEITO SÉRGIO FADEL'!D21+'E M DR THEODORO MACHADO'!D21+'ESCOLA SANTO ANTÔNIO'!D21+'E M TAQUARIL'!D21+'E M MONSENHOR JOÃO DE DEUS RODR'!D21+'CENTRO DE REFERÊNCIA EM EDUC 2'!D21+'CEI PROFª GRAÇA COSTA'!D21+'CEI VILA LEOPOLDINA'!D21+'CEI NILO PEÇANHA'!D21+'E MZDA SANTA TEREZINHA'!D21+'CEI CRIANÇA SANTA EDWIGES'!D21+'E M ARNALDO DYCKERHOFF'!D21+'E M CARLOS CANEDO'!D21+'E M BEATRIZ ZALESKI'!D21+'E M ANTÔNIO JOSÉ DE LIMA'!D21+'E M FELIX WAN ERVEN DE BARROS'!D21+'ESCOLA MUNICIPAL HILDEBRANDO DE'!D21+'E M OSWALDO DA COSTA FRIAS'!D21+'E MZDA AVELINO DE CARVALHO'!D21+'ESCOLA MUNICIPALIZADA MOYSÉS FU'!D21+'CEI ANGELA MARIA DA CONCEIÇÃO S'!D21+'CEI JOSÉ GONÇALVES DA MOTTA'!D21+'E M DR BARROS FRANCO'!D21+'E M MAJOR THEÓFILO DE CARVALHO'!D21+'E M JOÃO KOPKE'!D21+'CEI ASSOCIAÇÃO BENEFICENTE FAZE'!D21+'ESCOLA SAO FRANCISCO DE ASSIS'!D21+'CEI SÃO FRANCISCO ASSIS'!D21+'CEI ALDEIA DA CRIANCA'!D21+'ESCOLA MUNICIPAL ODETTE FONSECA'!D21+'CEI ANA CAROLINA TELLES'!D21+'E M SEBASTIÃO LACERDA'!D21+'E M DOM PEDRO DE ALCÂNTARA'!D21+'ESCOLA NOSSA SENHORA DE FÁTIMA'!D21+'ESCOLA PAROQUIAL SÃO FRANCISCO '!D21+'E M MONSENHOR CIRILLO CALAON'!D21</f>
        <v/>
      </c>
      <c r="D17" s="206">
        <f>'E M ABELARDO DE LAMARE'!M21+'E M BATAILLARD'!M21+'E M LEONARDO BOFF'!M21+'E M CLEMENTE FERNANDES'!M21+'E M DOM PEDRO DE ALCÂNTARA'!M21+'E M DUQUE DE CAXIAS'!M21+'E M LUIZ CARLOS SOARES'!M21+'ESCOLA MUNICIPAL GENERAL HEITOR'!M21+'E M JOÃO KOPKE'!M21+'ESCOLA MUNICIPAL ODETTE FONSECA'!M21+'E M GOVERNADOR MARCELLO ALENCAR'!M21+'E M PROF JOAQUIM DEISTER'!M21+'E M ROBERT KENNEDY'!M21+'E M ROTARY'!M21+'E M ROSALINA NICOLAY'!M21+'E M DE EDUCAÇÃO ESPECIAL SANTOS'!M21+'E M SOROPTIMISTA'!M21+'LICEU MUN PREFEITO CORDOLINO AM'!M21+'E M ANTÔNIO LEITE GARCIA'!M21+'ESCOLA MUNICIPAL JORGE AMADO'!M21+'ESCOLA MUNICIPAL LÚCIA DE ALMEI'!M21+'E M MAGDALENA TAGLIAFERRO'!M21+'ESCOLA MUNICIPAL MAJOR JÚLIO FR'!M21+'E M MARIETA GONÇALVES'!M21+'ESCOLA MUNICIPAL ODETTE YOUNG M'!M21+'E M FÁBRICA DO SABER'!M21+'ESCOLA MUNICIPAL PROFESSOR PAUL'!M21+'E M ROSEMIRA DE OLIVEIRA CAVALC'!M21+'E M AMÉLIA ANTUNES RABELLO'!M21+'ESCOLA MUNICIPAL AUGUSTO PUGNAL'!M21+'ESCOLA MUNICIPAL CELINA SCHECHN'!M21+'E M DARCY CORREA DA VEIGA'!M21+'E M DR PAULA BUARQUE'!M21+'E M DR THEODORO MACHADO'!M21+'E M ARNALDO DYCKERHOFF'!M21+'E M CARLOS CANEDO'!M21+'E M DR BARROS FRANCO'!M21+'E M MAJOR THEÓFILO DE CARVALHO'!M21+'E M TAQUARIL'!M21+'E M BEATRIZ ZALESKI'!M21+'E M ANTÔNIO JOSÉ DE LIMA'!M21+'E M FELIX WAN ERVEN DE BARROS'!M21+'ESCOLA MUNICIPAL HILDEBRANDO DE'!M21+'E M OSWALDO DA COSTA FRIAS'!M21+'E MZDA CARMEM NUNES MARTINS'!M21+'E MZDA AVELINO DE CARVALHO'!M21+'E M GERALDO VENTURA DIAS'!M21+'E M SALVADOR KLING'!M21+'E M PREFEITO JAMIL SABRÁ'!M21+'LICEU MUNICIPAL CARLOS CHAGAS F'!M21+'ESCOLA MUNICIPAL ANA MOHAMMAD'!M21+'ESCOLA MUNICIPAL ALTO INDEPENDÊ'!M21+'E M ALMIRANTE TAMANDARÉ'!M21+'ESCOLA MUNICIPALIZADA FREI ANIC'!M21+'E M PEDRO AMADO'!M21+'E M PROFª MARIA DA GLÓRIA QUEIR'!M21+'E M SEBASTIÃO LACERDA'!M21+'E M PROFESSOR FLÁVIO MACIEL'!M21+'ESCOLA MUNICIPAL PAULO SALDANHA'!M21+'ESCOLA MUNICIPAL PROFESSOR JOSE'!M21+'E M MONSENHOR CIRILLO CALAON'!M21+'E M AMÉRICO FERNANDES RIBEIRO'!M21+'E M PROFª JANDIRA PEIXOTO BORDI'!M21+'E M MONSENHOR JOÃO DE DEUS RODR'!M21+'E M DOM MANOEL PEDRO DA CUNHA C'!M21+'E M JOHANN NOEL'!M21+'E MZDA SANTA TEREZINHA'!M21+'E M PAPA JOÃO PAULO II'!M21+'E M STEFAN ZWEIG'!M21+'ESCOLA MUNICIPAL SENADOR MARIO '!M21+'E M DR RUBENS DE CASTRO BOMTEMP'!M21+'E M PAULO FREIRE'!M21+'E M PROFª MARIA CAMPOS DA SILVA'!M21+'E M HERCÍLIA HENRIQUES MORET'!M21+'ESCOLA MUNICIPALIZADA MOYSÉS FU'!M21+'CIEP BRIZOLÃO 474 MAESTRO GUERR'!M21+'CENTRO DE ENSINO PROF DARCY RIB'!M21+'CASA DA EDUCAÇÃO VISCONDE DE MA'!M21+'CENTRO DE REFERÊNCIA EM EDUCAÇÃ'!M21+'E M PROF NILTON COSTA PEREIRA D'!M21+'COLÉGIO GUNNAR VINGREN DE PETRÓ'!M21+'CENTRO DE REFERÊNCIA EM EDUC 2'!M21+'ESCOLA SANTA LUIZA DE MARILLAC'!M21+'CENTRO EDUCACIONAL COMUNIDADE S'!M21+'EDUCANDÁRIO TERRA SANTA'!M21+'ESCOLA GERMANO VALENTE'!M21+'ESCOLA DAS COMUNIDADES SANTO AN'!M21+'ESCOLA DOMÉSTICA NOSSA SENHORA '!M21+'ESCOLA PAROQUIAL NOSSA SENHO 3'!M21+'ESCOLA MONSENHOR GENTIL'!M21+'ESCOLA PAROQUIAL BOM JESUS'!M21+'ESCOLA PAROQUIAL CARLOS DEMIÁ'!M21+'ESCOLA PAROQUIAL NOSSA SENHO 2'!M21+'ESCOLA PAROQUIAL NOSSA SENHORA '!M21+'ESCOLA PAROQUIAL SÃO PEDRO DE A'!M21+'ESCOLA SANTA MARIA GORETTI'!M21+'ESCOLA SANTA RITA DE CASSIA'!M21+'ESCOLA SÃO CRISTÓVÃO'!M21+'ESCOLA PAROQUIAL SÃO FRANCISCO '!M21+'ESCOLA SAO FRANCISCO DE ASSIS'!M21+'ESCOLA SÃO JOÃO BATISTA'!M21+'ESCOLA SÃO JUDAS TADEU'!M21+'ESCOLA PAROQUIAL SÃO PIO X'!M21+'COLÉGIO ANGLICANO DE ARARAS'!M21+'COLEGIO VICENTINO PADRE CORRÊA'!M21+'ESCOLA NOSSA SENHORA DE FÁTIMA'!M21+'ESCOLA PAROQUIAL DA ALCOBAÇA'!M21+'ESCOLA PAROQUIAL DO LOTEAMENTO '!M21+'ESCOLA PAROQUIAL SANTA BERNADET'!M21+'ESCOLA SÃO GERALDO'!M21+'ESCOLA SANTO ANTÔNIO'!M21+'LICEU SÃO JOSÉ DE ITAIPAVA'!M21+'ESCOLA SÃO JOSÉ DO CAETITU'!M21+'CEI ASSOCIAÇÃO BENEFICENTE FAZE'!M21+'CEI CASA DA SOLIDARIEDADE DE NO'!M21+'CEI LULU MONTEIRO DE CASTRO'!M21+'CEI SÃO JOÃO BATISTA'!M21+'CEI SÃO FRANCISCO ASSIS'!M21+'CEI A SEMENTEIRA'!M21+'CEI FREI LEÃO'!M21+'CEI ROMANO CANAVESE'!M21+'CEI ANDRÉ VANZAN'!M21+'CEI CRIANÇA SANTA EDWIGES'!M21+'CENTRO DE EDUCAÇÃO INFANTIL IRM'!M21+'CEI PEDRAS BRANCAS'!M21+'CEI INÊS BELARMINO DE SOUZA'!M21+'CEI PROFª ROSANGELA DA SILVA LE'!M21+'CEI VILA SAO JOSE'!M21+'CEI MARIA THEREZA KLING DO VALL'!M21+'CEI DEISE ELOY GOMES'!M21+'CENTRO PAROQUIAL DE EDUCAÇÃO IN'!M21+'CEI VISTA ALEGRE'!M21+'CEI ALDEIA DA CRIANCA'!M21+'CEI DÉA LÚCIA CORDEIRO'!M21+'CENTRO DE EDUCAÇÃO INFANTIL CAR'!M21+'CEI IRMÃ SILVANA'!M21+'CEI MARLI SOARES FERREIRA NETTO'!M21+'CEI PROFª SONIA REGINA SCUDESE '!M21+'CEI DONA ESPERANZA DE BOURBON D'!M21+'CEI PREFEITO SÉRGIO FADEL'!M21+'CEI ANDRÉ REBOUÇAS'!M21+'CENTRO DE EDUCAÇÃO INFANTIL CHI'!M21+'CEI TIA ALICE'!M21+'CEI TERRA SANTA'!M21+'CEI JORGE ROLANDO DA SILVA'!M21+'CEI CARANGOLA'!M21+'CEI CÉLIA LÔBO PAULO'!M21+'CEI LIONS CLUBE DE PETRÓPOLIS'!M21+'CEI PROFª GRAÇA COSTA'!M21+'CEI ANGELA MARIA DA CONCEIÇÃO S'!M21+'CEI LUIZ MARCHIORI'!M21+'CEI PROFª MARLUCE DE SOUZA PEST'!M21+'CEI OLÍVIA MACHADO DA COSTA NOG'!M21+'CEI VILA IPANEMA'!M21+'CEI VILA LEOPOLDINA'!M21+'CENTRO DE EDUCAÇÃO INFANTIL CAS'!M21+'CEI PRIMEIRA INFÂNCIA'!M21+'CEI PROFª DORA KILLER'!M21+'CEI PROFª PATRÍCIA FERREIRA E S'!M21+'CEI DRA ZILDA ARNS NEUMANN'!M21+'CEI DENISE BESSA DE OLIVA MAYA'!M21+'CEI GIUSEPPE-NEVA VOLONTERIO'!M21+'CENTRO DE EDUCAÇÃO INFANTIL LOT'!M21+'CEI IRINEU MARINHO'!M21+'CEI OSWALDO CRUZ'!M21+'CEI ANA CAROLINA TELLES'!M21+'CEI JOSÉ GONÇALVES DA MOTTA'!M21+'CEI SAGRADA FAMÍLIA'!M21+'CEI PROFª HERMÍNIA MATHEUS'!M21+'CENTRO DE EDUCAÇÃO INFANTIL PRO'!M21+'CEI MONSENHOR PAULO ELIAS DAHER'!M21+'CEI DAGMAR ROLANDO DE OLIVEIRA'!M21+'CENTRO DE EDUCAÇÃO INFANTIL  2'!M21+'CEI BOA VISTA'!M21+'CEI NILO PEÇANHA'!M21+'CENTRO DE EDUCAÇÃO INFANTIL AUG'!M21+'CEI THEREZINHA DE JESUS LIMA'!M21+'CEI VIDEIRINHA'!M21+'CEI PROFª ADRIANA CONSTÂNCIO TR'!M21+'CENTRO DE EDUCAÇÃO INFANTIL SÉR'!M21+'CEI JURACI PINTO DO AMARAL DE C'!M21+'CEI NOSSA SENHORA DA GLÓRIA'!M21+'CEI ALTO INDEPENDÊNCIA'!M21+'CEI SÃO JOSÉ DAS OBLATAS DE NAZ'!M21+'CEI SANTO ANTÔNIO AGOSTINHO'!M21+'CEI SÃO CHARBEL'!M21+'ASSOCIAÇÃO DA CRECHE SÃO FRANCI'!M21+'CEI SÃO JOSÉ DO ITAMARATI'!M21+'ASSOCIAÇÃO RECREAR'!M21+'CRECHE-ESCOLA CASTELO SÃO MANOE'!M21+'CENTRO DE EDUCAÇÃO INFANTIL SÃO'!M21</f>
        <v/>
      </c>
      <c r="E17" s="207">
        <f>'Entrada de Dados'!O2</f>
        <v/>
      </c>
      <c r="F17" s="207">
        <f>D17*E17</f>
        <v/>
      </c>
    </row>
    <row r="18" ht="15" customHeight="1" s="163">
      <c r="A18" s="195">
        <f>'Entrada de Dados'!P5</f>
        <v/>
      </c>
      <c r="B18" s="206">
        <f>'Entrada de Dados'!P197</f>
        <v/>
      </c>
      <c r="C18" s="206">
        <f>'E M ROTARY'!D22+'E M DE EDUCAÇÃO ESPECIAL SANTOS'!D22+'LICEU MUN PREFEITO CORDOLINO AM'!D22+'E M PREFEITO JAMIL SABRÁ'!D22+'LICEU MUNICIPAL CARLOS CHAGAS F'!D22+'E M PAULO FREIRE'!D22+'E M PROFª MARIA CAMPOS DA SILVA'!D22+'CASA DA EDUCAÇÃO VISCONDE DE MA'!D22+'CENTRO DE REFERÊNCIA EM EDUCAÇÃ'!D22+'ESCOLA SANTA LUIZA DE MARILLAC'!D22+'ESCOLA DOMÉSTICA NOSSA SENHORA '!D22+'ESCOLA MONSENHOR GENTIL'!D22+'ESCOLA PAROQUIAL NOSSA SENHORA '!D22+'ESCOLA PAROQUIAL SÃO PEDRO DE A'!D22+'CEI TERRA SANTA'!D22+'CEI PRIMEIRA INFÂNCIA'!D22+'CEI PROFª PATRÍCIA FERREIRA E S'!D22+'CEI DRA ZILDA ARNS NEUMANN'!D22+'CENTRO DE EDUCAÇÃO INFANTIL PRO'!D22+'CEI MONSENHOR PAULO ELIAS DAHER'!D22+'COLÉGIO GUNNAR VINGREN DE PETRÓ'!D22+'EDUCANDÁRIO TERRA SANTA'!D22+'CEI LIONS CLUBE DE PETRÓPOLIS'!D22+'ESCOLA PAROQUIAL NOSSA SENHO 2'!D22+'CENTRO DE EDUCAÇÃO INFANTIL IRM'!D22+'E M LUIZ CARLOS SOARES'!D22+'ESCOLA GERMANO VALENTE'!D22+'ESCOLA PAROQUIAL NOSSA SENHO 3'!D22+'CEI JORGE ROLANDO DA SILVA'!D22+'E M CLEMENTE FERNANDES'!D22+'E M GERALDO VENTURA DIAS'!D22+'ESCOLA DAS COMUNIDADES SANTO AN'!D22+'CEI PROFª ROSANGELA DA SILVA LE'!D22+'CEI DEISE ELOY GOMES'!D22+'CEI PROFª SONIA REGINA SCUDESE '!D22+'CEI TIA ALICE'!D22+'E M BATAILLARD'!D22+'E M SOROPTIMISTA'!D22+'E M SALVADOR KLING'!D22+'ESCOLA MUNICIPALIZADA FREI ANIC'!D22+'ESCOLA SÃO JUDAS TADEU'!D22+'CEI PEDRAS BRANCAS'!D22+'CEI MARIA THEREZA KLING DO VALL'!D22+'CEI DONA ESPERANZA DE BOURBON D'!D22+'CEI GIUSEPPE-NEVA VOLONTERIO'!D22+'CENTRO DE EDUCAÇÃO INFANTIL SÃO'!D22+'E M LEONARDO BOFF'!D22+'ESCOLA MUNICIPAL GENERAL HEITOR'!D22+'E M JOHANN NOEL'!D22+'ESCOLA SANTA MARIA GORETTI'!D22+'ESCOLA SANTA RITA DE CASSIA'!D22+'ESCOLA SÃO JOÃO BATISTA'!D22+'CEI CASA DA SOLIDARIEDADE DE NO'!D22+'CEI A SEMENTEIRA'!D22+'CEI VILA SAO JOSE'!D22+'E M DR RUBENS DE CASTRO BOMTEMP'!D22+'CEI FREI LEÃO'!D22+'CEI SÃO JOÃO BATISTA'!D22+'CEI JURACI PINTO DO AMARAL DE C'!D22+'E M PEDRO AMADO'!D22+'E M ABELARDO DE LAMARE'!D22+'ESCOLA MUNICIPAL SENADOR MARIO '!D22+'ESCOLA PAROQUIAL SÃO PIO X'!D22+'CEI SÃO CHARBEL'!D22+'E M ROSALINA NICOLAY'!D22+'CEI INÊS BELARMINO DE SOUZA'!D22+'E M PROFª MARIA DA GLÓRIA QUEIR'!D22+'CENTRO EDUCACIONAL COMUNIDADE S'!D22+'CEI ROMANO CANAVESE'!D22+'CEI CÉLIA LÔBO PAULO'!D22+'CEI PROFª DORA KILLER'!D22+'CEI ALTO INDEPENDÊNCIA'!D22+'ESCOLA MUNICIPAL ALTO INDEPENDÊ'!D22+'E M PAPA JOÃO PAULO II'!D22+'CEI ANDRÉ REBOUÇAS'!D22+'CEI PROFª HERMÍNIA MATHEUS'!D22+'ESCOLA MUNICIPAL MAJOR JÚLIO FR'!D22+'E M ALMIRANTE TAMANDARÉ'!D22+'ESCOLA PAROQUIAL CARLOS DEMIÁ'!D22+'CENTRO PAROQUIAL DE EDUCAÇÃO IN'!D22+'CEI IRMÃ SILVANA'!D22+'CEI OLÍVIA MACHADO DA COSTA NOG'!D22+'E M GOVERNADOR MARCELLO ALENCAR'!D22+'E M PROFESSOR FLÁVIO MACIEL'!D22+'E M PROFª JANDIRA PEIXOTO BORDI'!D22+'E M STEFAN ZWEIG'!D22+'ESCOLA PAROQUIAL BOM JESUS'!D22+'CEI MARLI SOARES FERREIRA NETTO'!D22+'CENTRO DE EDUCAÇÃO INFANTIL CHI'!D22+'CEI VILA IPANEMA'!D22+'E M ROBERT KENNEDY'!D22+'ESCOLA MUNICIPAL ANA MOHAMMAD'!D22+'ESCOLA SÃO CRISTÓVÃO'!D22+'CEI DÉA LÚCIA CORDEIRO'!D22+'CEI SAGRADA FAMÍLIA'!D22+'CEI SÃO JOSÉ DAS OBLATAS DE NAZ'!D22+'ESCOLA MUNICIPAL JORGE AMADO'!D22+'E M FÁBRICA DO SABER'!D22+'CIEP BRIZOLÃO 474 MAESTRO GUERR'!D22+'CENTRO DE ENSINO PROF DARCY RIB'!D22+'CEI ANDRÉ VANZAN'!D22+'CENTRO DE EDUCAÇÃO INFANTIL CAR'!D22+'CEI BOA VISTA'!D22+'ASSOCIAÇÃO DA CRECHE SÃO FRANCI'!D22+'ESCOLA MUNICIPAL PAULO SALDANHA'!D22+'ESCOLA MUNICIPAL LÚCIA DE ALMEI'!D22+'E M DOM MANOEL PEDRO DA CUNHA C'!D22+'ESCOLA SÃO GERALDO'!D22+'CEI LULU MONTEIRO DE CASTRO'!D22+'CEI CARANGOLA'!D22+'ASSOCIAÇÃO RECREAR'!D22+'CENTRO DE EDUCAÇÃO INFANTIL CAS'!D22+'E M ROSEMIRA DE OLIVEIRA CAVALC'!D22+'E MZDA CARMEM NUNES MARTINS'!D22+'CEI SÃO JOSÉ DO ITAMARATI'!D22+'E M DUQUE DE CAXIAS'!D22+'CENTRO DE EDUCAÇÃO INFANTIL  2'!D22+'E M ANTÔNIO LEITE GARCIA'!D22+'ESCOLA PAROQUIAL DA ALCOBAÇA'!D22+'CENTRO DE EDUCAÇÃO INFANTIL LOT'!D22+'ESCOLA PAROQUIAL DO LOTEAMENTO '!D22+'E M PROF JOAQUIM DEISTER'!D22+'E M MARIETA GONÇALVES'!D22+'ESCOLA MUNICIPAL ODETTE YOUNG M'!D22+'ESCOLA MUNICIPAL PROFESSOR JOSE'!D22+'E M HERCÍLIA HENRIQUES MORET'!D22+'COLEGIO VICENTINO PADRE CORRÊA'!D22+'CEI PROFª MARLUCE DE SOUZA PEST'!D22+'CEI IRINEU MARINHO'!D22+'CEI DAGMAR ROLANDO DE OLIVEIRA'!D22+'CEI NOSSA SENHORA DA GLÓRIA'!D22+'E M PROF NILTON COSTA PEREIRA D'!D22+'CENTRO DE EDUCAÇÃO INFANTIL SÉR'!D22+'CEI SANTO ANTÔNIO AGOSTINHO'!D22+'CEI OSWALDO CRUZ'!D22+'E M MAGDALENA TAGLIAFERRO'!D22+'ESCOLA SÃO JOSÉ DO CAETITU'!D22+'CRECHE-ESCOLA CASTELO SÃO MANOE'!D22+'CEI THEREZINHA DE JESUS LIMA'!D22+'ESCOLA MUNICIPAL PROFESSOR PAUL'!D22+'COLÉGIO ANGLICANO DE ARARAS'!D22+'ESCOLA PAROQUIAL SANTA BERNADET'!D22+'CEI VISTA ALEGRE'!D22+'CEI DENISE BESSA DE OLIVA MAYA'!D22+'CEI VIDEIRINHA'!D22+'E M AMÉRICO FERNANDES RIBEIRO'!D22+'ESCOLA MUNICIPAL AUGUSTO PUGNAL'!D22+'ESCOLA MUNICIPAL CELINA SCHECHN'!D22+'E M DARCY CORREA DA VEIGA'!D22+'E M DR PAULA BUARQUE'!D22+'LICEU SÃO JOSÉ DE ITAIPAVA'!D22+'CEI LUIZ MARCHIORI'!D22+'CENTRO DE EDUCAÇÃO INFANTIL AUG'!D22+'CEI PROFª ADRIANA CONSTÂNCIO TR'!D22+'E M AMÉLIA ANTUNES RABELLO'!D22+'CEI PREFEITO SÉRGIO FADEL'!D22+'E M DR THEODORO MACHADO'!D22+'ESCOLA SANTO ANTÔNIO'!D22+'E M TAQUARIL'!D22+'E M MONSENHOR JOÃO DE DEUS RODR'!D22+'CENTRO DE REFERÊNCIA EM EDUC 2'!D22+'CEI PROFª GRAÇA COSTA'!D22+'CEI VILA LEOPOLDINA'!D22+'CEI NILO PEÇANHA'!D22+'E MZDA SANTA TEREZINHA'!D22+'CEI CRIANÇA SANTA EDWIGES'!D22+'E M ARNALDO DYCKERHOFF'!D22+'E M CARLOS CANEDO'!D22+'E M BEATRIZ ZALESKI'!D22+'E M ANTÔNIO JOSÉ DE LIMA'!D22+'E M FELIX WAN ERVEN DE BARROS'!D22+'ESCOLA MUNICIPAL HILDEBRANDO DE'!D22+'E M OSWALDO DA COSTA FRIAS'!D22+'E MZDA AVELINO DE CARVALHO'!D22+'ESCOLA MUNICIPALIZADA MOYSÉS FU'!D22+'CEI ANGELA MARIA DA CONCEIÇÃO S'!D22+'CEI JOSÉ GONÇALVES DA MOTTA'!D22+'E M DR BARROS FRANCO'!D22+'E M MAJOR THEÓFILO DE CARVALHO'!D22+'E M JOÃO KOPKE'!D22+'CEI ASSOCIAÇÃO BENEFICENTE FAZE'!D22+'ESCOLA SAO FRANCISCO DE ASSIS'!D22+'CEI SÃO FRANCISCO ASSIS'!D22+'CEI ALDEIA DA CRIANCA'!D22+'ESCOLA MUNICIPAL ODETTE FONSECA'!D22+'CEI ANA CAROLINA TELLES'!D22+'E M SEBASTIÃO LACERDA'!D22+'E M DOM PEDRO DE ALCÂNTARA'!D22+'ESCOLA NOSSA SENHORA DE FÁTIMA'!D22+'ESCOLA PAROQUIAL SÃO FRANCISCO '!D22+'E M MONSENHOR CIRILLO CALAON'!D22</f>
        <v/>
      </c>
      <c r="D18" s="206">
        <f>'E M ABELARDO DE LAMARE'!M22+'E M BATAILLARD'!M22+'E M LEONARDO BOFF'!M22+'E M CLEMENTE FERNANDES'!M22+'E M DOM PEDRO DE ALCÂNTARA'!M22+'E M DUQUE DE CAXIAS'!M22+'E M LUIZ CARLOS SOARES'!M22+'ESCOLA MUNICIPAL GENERAL HEITOR'!M22+'E M JOÃO KOPKE'!M22+'ESCOLA MUNICIPAL ODETTE FONSECA'!M22+'E M GOVERNADOR MARCELLO ALENCAR'!M22+'E M PROF JOAQUIM DEISTER'!M22+'E M ROBERT KENNEDY'!M22+'E M ROTARY'!M22+'E M ROSALINA NICOLAY'!M22+'E M DE EDUCAÇÃO ESPECIAL SANTOS'!M22+'E M SOROPTIMISTA'!M22+'LICEU MUN PREFEITO CORDOLINO AM'!M22+'E M ANTÔNIO LEITE GARCIA'!M22+'ESCOLA MUNICIPAL JORGE AMADO'!M22+'ESCOLA MUNICIPAL LÚCIA DE ALMEI'!M22+'E M MAGDALENA TAGLIAFERRO'!M22+'ESCOLA MUNICIPAL MAJOR JÚLIO FR'!M22+'E M MARIETA GONÇALVES'!M22+'ESCOLA MUNICIPAL ODETTE YOUNG M'!M22+'E M FÁBRICA DO SABER'!M22+'ESCOLA MUNICIPAL PROFESSOR PAUL'!M22+'E M ROSEMIRA DE OLIVEIRA CAVALC'!M22+'E M AMÉLIA ANTUNES RABELLO'!M22+'ESCOLA MUNICIPAL AUGUSTO PUGNAL'!M22+'ESCOLA MUNICIPAL CELINA SCHECHN'!M22+'E M DARCY CORREA DA VEIGA'!M22+'E M DR PAULA BUARQUE'!M22+'E M DR THEODORO MACHADO'!M22+'E M ARNALDO DYCKERHOFF'!M22+'E M CARLOS CANEDO'!M22+'E M DR BARROS FRANCO'!M22+'E M MAJOR THEÓFILO DE CARVALHO'!M22+'E M TAQUARIL'!M22+'E M BEATRIZ ZALESKI'!M22+'E M ANTÔNIO JOSÉ DE LIMA'!M22+'E M FELIX WAN ERVEN DE BARROS'!M22+'ESCOLA MUNICIPAL HILDEBRANDO DE'!M22+'E M OSWALDO DA COSTA FRIAS'!M22+'E MZDA CARMEM NUNES MARTINS'!M22+'E MZDA AVELINO DE CARVALHO'!M22+'E M GERALDO VENTURA DIAS'!M22+'E M SALVADOR KLING'!M22+'E M PREFEITO JAMIL SABRÁ'!M22+'LICEU MUNICIPAL CARLOS CHAGAS F'!M22+'ESCOLA MUNICIPAL ANA MOHAMMAD'!M22+'ESCOLA MUNICIPAL ALTO INDEPENDÊ'!M22+'E M ALMIRANTE TAMANDARÉ'!M22+'ESCOLA MUNICIPALIZADA FREI ANIC'!M22+'E M PEDRO AMADO'!M22+'E M PROFª MARIA DA GLÓRIA QUEIR'!M22+'E M SEBASTIÃO LACERDA'!M22+'E M PROFESSOR FLÁVIO MACIEL'!M22+'ESCOLA MUNICIPAL PAULO SALDANHA'!M22+'ESCOLA MUNICIPAL PROFESSOR JOSE'!M22+'E M MONSENHOR CIRILLO CALAON'!M22+'E M AMÉRICO FERNANDES RIBEIRO'!M22+'E M PROFª JANDIRA PEIXOTO BORDI'!M22+'E M MONSENHOR JOÃO DE DEUS RODR'!M22+'E M DOM MANOEL PEDRO DA CUNHA C'!M22+'E M JOHANN NOEL'!M22+'E MZDA SANTA TEREZINHA'!M22+'E M PAPA JOÃO PAULO II'!M22+'E M STEFAN ZWEIG'!M22+'ESCOLA MUNICIPAL SENADOR MARIO '!M22+'E M DR RUBENS DE CASTRO BOMTEMP'!M22+'E M PAULO FREIRE'!M22+'E M PROFª MARIA CAMPOS DA SILVA'!M22+'E M HERCÍLIA HENRIQUES MORET'!M22+'ESCOLA MUNICIPALIZADA MOYSÉS FU'!M22+'CIEP BRIZOLÃO 474 MAESTRO GUERR'!M22+'CENTRO DE ENSINO PROF DARCY RIB'!M22+'CASA DA EDUCAÇÃO VISCONDE DE MA'!M22+'CENTRO DE REFERÊNCIA EM EDUCAÇÃ'!M22+'E M PROF NILTON COSTA PEREIRA D'!M22+'COLÉGIO GUNNAR VINGREN DE PETRÓ'!M22+'CENTRO DE REFERÊNCIA EM EDUC 2'!M22+'ESCOLA SANTA LUIZA DE MARILLAC'!M22+'CENTRO EDUCACIONAL COMUNIDADE S'!M22+'EDUCANDÁRIO TERRA SANTA'!M22+'ESCOLA GERMANO VALENTE'!M22+'ESCOLA DAS COMUNIDADES SANTO AN'!M22+'ESCOLA DOMÉSTICA NOSSA SENHORA '!M22+'ESCOLA PAROQUIAL NOSSA SENHO 3'!M22+'ESCOLA MONSENHOR GENTIL'!M22+'ESCOLA PAROQUIAL BOM JESUS'!M22+'ESCOLA PAROQUIAL CARLOS DEMIÁ'!M22+'ESCOLA PAROQUIAL NOSSA SENHO 2'!M22+'ESCOLA PAROQUIAL NOSSA SENHORA '!M22+'ESCOLA PAROQUIAL SÃO PEDRO DE A'!M22+'ESCOLA SANTA MARIA GORETTI'!M22+'ESCOLA SANTA RITA DE CASSIA'!M22+'ESCOLA SÃO CRISTÓVÃO'!M22+'ESCOLA PAROQUIAL SÃO FRANCISCO '!M22+'ESCOLA SAO FRANCISCO DE ASSIS'!M22+'ESCOLA SÃO JOÃO BATISTA'!M22+'ESCOLA SÃO JUDAS TADEU'!M22+'ESCOLA PAROQUIAL SÃO PIO X'!M22+'COLÉGIO ANGLICANO DE ARARAS'!M22+'COLEGIO VICENTINO PADRE CORRÊA'!M22+'ESCOLA NOSSA SENHORA DE FÁTIMA'!M22+'ESCOLA PAROQUIAL DA ALCOBAÇA'!M22+'ESCOLA PAROQUIAL DO LOTEAMENTO '!M22+'ESCOLA PAROQUIAL SANTA BERNADET'!M22+'ESCOLA SÃO GERALDO'!M22+'ESCOLA SANTO ANTÔNIO'!M22+'LICEU SÃO JOSÉ DE ITAIPAVA'!M22+'ESCOLA SÃO JOSÉ DO CAETITU'!M22+'CEI ASSOCIAÇÃO BENEFICENTE FAZE'!M22+'CEI CASA DA SOLIDARIEDADE DE NO'!M22+'CEI LULU MONTEIRO DE CASTRO'!M22+'CEI SÃO JOÃO BATISTA'!M22+'CEI SÃO FRANCISCO ASSIS'!M22+'CEI A SEMENTEIRA'!M22+'CEI FREI LEÃO'!M22+'CEI ROMANO CANAVESE'!M22+'CEI ANDRÉ VANZAN'!M22+'CEI CRIANÇA SANTA EDWIGES'!M22+'CENTRO DE EDUCAÇÃO INFANTIL IRM'!M22+'CEI PEDRAS BRANCAS'!M22+'CEI INÊS BELARMINO DE SOUZA'!M22+'CEI PROFª ROSANGELA DA SILVA LE'!M22+'CEI VILA SAO JOSE'!M22+'CEI MARIA THEREZA KLING DO VALL'!M22+'CEI DEISE ELOY GOMES'!M22+'CENTRO PAROQUIAL DE EDUCAÇÃO IN'!M22+'CEI VISTA ALEGRE'!M22+'CEI ALDEIA DA CRIANCA'!M22+'CEI DÉA LÚCIA CORDEIRO'!M22+'CENTRO DE EDUCAÇÃO INFANTIL CAR'!M22+'CEI IRMÃ SILVANA'!M22+'CEI MARLI SOARES FERREIRA NETTO'!M22+'CEI PROFª SONIA REGINA SCUDESE '!M22+'CEI DONA ESPERANZA DE BOURBON D'!M22+'CEI PREFEITO SÉRGIO FADEL'!M22+'CEI ANDRÉ REBOUÇAS'!M22+'CENTRO DE EDUCAÇÃO INFANTIL CHI'!M22+'CEI TIA ALICE'!M22+'CEI TERRA SANTA'!M22+'CEI JORGE ROLANDO DA SILVA'!M22+'CEI CARANGOLA'!M22+'CEI CÉLIA LÔBO PAULO'!M22+'CEI LIONS CLUBE DE PETRÓPOLIS'!M22+'CEI PROFª GRAÇA COSTA'!M22+'CEI ANGELA MARIA DA CONCEIÇÃO S'!M22+'CEI LUIZ MARCHIORI'!M22+'CEI PROFª MARLUCE DE SOUZA PEST'!M22+'CEI OLÍVIA MACHADO DA COSTA NOG'!M22+'CEI VILA IPANEMA'!M22+'CEI VILA LEOPOLDINA'!M22+'CENTRO DE EDUCAÇÃO INFANTIL CAS'!M22+'CEI PRIMEIRA INFÂNCIA'!M22+'CEI PROFª DORA KILLER'!M22+'CEI PROFª PATRÍCIA FERREIRA E S'!M22+'CEI DRA ZILDA ARNS NEUMANN'!M22+'CEI DENISE BESSA DE OLIVA MAYA'!M22+'CEI GIUSEPPE-NEVA VOLONTERIO'!M22+'CENTRO DE EDUCAÇÃO INFANTIL LOT'!M22+'CEI IRINEU MARINHO'!M22+'CEI OSWALDO CRUZ'!M22+'CEI ANA CAROLINA TELLES'!M22+'CEI JOSÉ GONÇALVES DA MOTTA'!M22+'CEI SAGRADA FAMÍLIA'!M22+'CEI PROFª HERMÍNIA MATHEUS'!M22+'CENTRO DE EDUCAÇÃO INFANTIL PRO'!M22+'CEI MONSENHOR PAULO ELIAS DAHER'!M22+'CEI DAGMAR ROLANDO DE OLIVEIRA'!M22+'CENTRO DE EDUCAÇÃO INFANTIL  2'!M22+'CEI BOA VISTA'!M22+'CEI NILO PEÇANHA'!M22+'CENTRO DE EDUCAÇÃO INFANTIL AUG'!M22+'CEI THEREZINHA DE JESUS LIMA'!M22+'CEI VIDEIRINHA'!M22+'CEI PROFª ADRIANA CONSTÂNCIO TR'!M22+'CENTRO DE EDUCAÇÃO INFANTIL SÉR'!M22+'CEI JURACI PINTO DO AMARAL DE C'!M22+'CEI NOSSA SENHORA DA GLÓRIA'!M22+'CEI ALTO INDEPENDÊNCIA'!M22+'CEI SÃO JOSÉ DAS OBLATAS DE NAZ'!M22+'CEI SANTO ANTÔNIO AGOSTINHO'!M22+'CEI SÃO CHARBEL'!M22+'ASSOCIAÇÃO DA CRECHE SÃO FRANCI'!M22+'CEI SÃO JOSÉ DO ITAMARATI'!M22+'ASSOCIAÇÃO RECREAR'!M22+'CRECHE-ESCOLA CASTELO SÃO MANOE'!M22+'CENTRO DE EDUCAÇÃO INFANTIL SÃO'!M22</f>
        <v/>
      </c>
      <c r="E18" s="207">
        <f>'Entrada de Dados'!P2</f>
        <v/>
      </c>
      <c r="F18" s="207">
        <f>D18*E18</f>
        <v/>
      </c>
    </row>
    <row r="19" ht="15" customHeight="1" s="163">
      <c r="A19" s="195">
        <f>'Entrada de Dados'!Q5</f>
        <v/>
      </c>
      <c r="B19" s="206">
        <f>'Entrada de Dados'!Q197</f>
        <v/>
      </c>
      <c r="C19" s="206">
        <f>'E M ROTARY'!D23+'E M DE EDUCAÇÃO ESPECIAL SANTOS'!D23+'LICEU MUN PREFEITO CORDOLINO AM'!D23+'E M PREFEITO JAMIL SABRÁ'!D23+'LICEU MUNICIPAL CARLOS CHAGAS F'!D23+'E M PAULO FREIRE'!D23+'E M PROFª MARIA CAMPOS DA SILVA'!D23+'CASA DA EDUCAÇÃO VISCONDE DE MA'!D23+'CENTRO DE REFERÊNCIA EM EDUCAÇÃ'!D23+'ESCOLA SANTA LUIZA DE MARILLAC'!D23+'ESCOLA DOMÉSTICA NOSSA SENHORA '!D23+'ESCOLA MONSENHOR GENTIL'!D23+'ESCOLA PAROQUIAL NOSSA SENHORA '!D23+'ESCOLA PAROQUIAL SÃO PEDRO DE A'!D23+'CEI TERRA SANTA'!D23+'CEI PRIMEIRA INFÂNCIA'!D23+'CEI PROFª PATRÍCIA FERREIRA E S'!D23+'CEI DRA ZILDA ARNS NEUMANN'!D23+'CENTRO DE EDUCAÇÃO INFANTIL PRO'!D23+'CEI MONSENHOR PAULO ELIAS DAHER'!D23+'COLÉGIO GUNNAR VINGREN DE PETRÓ'!D23+'EDUCANDÁRIO TERRA SANTA'!D23+'CEI LIONS CLUBE DE PETRÓPOLIS'!D23+'ESCOLA PAROQUIAL NOSSA SENHO 2'!D23+'CENTRO DE EDUCAÇÃO INFANTIL IRM'!D23+'E M LUIZ CARLOS SOARES'!D23+'ESCOLA GERMANO VALENTE'!D23+'ESCOLA PAROQUIAL NOSSA SENHO 3'!D23+'CEI JORGE ROLANDO DA SILVA'!D23+'E M CLEMENTE FERNANDES'!D23+'E M GERALDO VENTURA DIAS'!D23+'ESCOLA DAS COMUNIDADES SANTO AN'!D23+'CEI PROFª ROSANGELA DA SILVA LE'!D23+'CEI DEISE ELOY GOMES'!D23+'CEI PROFª SONIA REGINA SCUDESE '!D23+'CEI TIA ALICE'!D23+'E M BATAILLARD'!D23+'E M SOROPTIMISTA'!D23+'E M SALVADOR KLING'!D23+'ESCOLA MUNICIPALIZADA FREI ANIC'!D23+'ESCOLA SÃO JUDAS TADEU'!D23+'CEI PEDRAS BRANCAS'!D23+'CEI MARIA THEREZA KLING DO VALL'!D23+'CEI DONA ESPERANZA DE BOURBON D'!D23+'CEI GIUSEPPE-NEVA VOLONTERIO'!D23+'CENTRO DE EDUCAÇÃO INFANTIL SÃO'!D23+'E M LEONARDO BOFF'!D23+'ESCOLA MUNICIPAL GENERAL HEITOR'!D23+'E M JOHANN NOEL'!D23+'ESCOLA SANTA MARIA GORETTI'!D23+'ESCOLA SANTA RITA DE CASSIA'!D23+'ESCOLA SÃO JOÃO BATISTA'!D23+'CEI CASA DA SOLIDARIEDADE DE NO'!D23+'CEI A SEMENTEIRA'!D23+'CEI VILA SAO JOSE'!D23+'E M DR RUBENS DE CASTRO BOMTEMP'!D23+'CEI FREI LEÃO'!D23+'CEI SÃO JOÃO BATISTA'!D23+'CEI JURACI PINTO DO AMARAL DE C'!D23+'E M PEDRO AMADO'!D23+'E M ABELARDO DE LAMARE'!D23+'ESCOLA MUNICIPAL SENADOR MARIO '!D23+'ESCOLA PAROQUIAL SÃO PIO X'!D23+'CEI SÃO CHARBEL'!D23+'E M ROSALINA NICOLAY'!D23+'CEI INÊS BELARMINO DE SOUZA'!D23+'E M PROFª MARIA DA GLÓRIA QUEIR'!D23+'CENTRO EDUCACIONAL COMUNIDADE S'!D23+'CEI ROMANO CANAVESE'!D23+'CEI CÉLIA LÔBO PAULO'!D23+'CEI PROFª DORA KILLER'!D23+'CEI ALTO INDEPENDÊNCIA'!D23+'ESCOLA MUNICIPAL ALTO INDEPENDÊ'!D23+'E M PAPA JOÃO PAULO II'!D23+'CEI ANDRÉ REBOUÇAS'!D23+'CEI PROFª HERMÍNIA MATHEUS'!D23+'ESCOLA MUNICIPAL MAJOR JÚLIO FR'!D23+'E M ALMIRANTE TAMANDARÉ'!D23+'ESCOLA PAROQUIAL CARLOS DEMIÁ'!D23+'CENTRO PAROQUIAL DE EDUCAÇÃO IN'!D23+'CEI IRMÃ SILVANA'!D23+'CEI OLÍVIA MACHADO DA COSTA NOG'!D23+'E M GOVERNADOR MARCELLO ALENCAR'!D23+'E M PROFESSOR FLÁVIO MACIEL'!D23+'E M PROFª JANDIRA PEIXOTO BORDI'!D23+'E M STEFAN ZWEIG'!D23+'ESCOLA PAROQUIAL BOM JESUS'!D23+'CEI MARLI SOARES FERREIRA NETTO'!D23+'CENTRO DE EDUCAÇÃO INFANTIL CHI'!D23+'CEI VILA IPANEMA'!D23+'E M ROBERT KENNEDY'!D23+'ESCOLA MUNICIPAL ANA MOHAMMAD'!D23+'ESCOLA SÃO CRISTÓVÃO'!D23+'CEI DÉA LÚCIA CORDEIRO'!D23+'CEI SAGRADA FAMÍLIA'!D23+'CEI SÃO JOSÉ DAS OBLATAS DE NAZ'!D23+'ESCOLA MUNICIPAL JORGE AMADO'!D23+'E M FÁBRICA DO SABER'!D23+'CIEP BRIZOLÃO 474 MAESTRO GUERR'!D23+'CENTRO DE ENSINO PROF DARCY RIB'!D23+'CEI ANDRÉ VANZAN'!D23+'CENTRO DE EDUCAÇÃO INFANTIL CAR'!D23+'CEI BOA VISTA'!D23+'ASSOCIAÇÃO DA CRECHE SÃO FRANCI'!D23+'ESCOLA MUNICIPAL PAULO SALDANHA'!D23+'ESCOLA MUNICIPAL LÚCIA DE ALMEI'!D23+'E M DOM MANOEL PEDRO DA CUNHA C'!D23+'ESCOLA SÃO GERALDO'!D23+'CEI LULU MONTEIRO DE CASTRO'!D23+'CEI CARANGOLA'!D23+'ASSOCIAÇÃO RECREAR'!D23+'CENTRO DE EDUCAÇÃO INFANTIL CAS'!D23+'E M ROSEMIRA DE OLIVEIRA CAVALC'!D23+'E MZDA CARMEM NUNES MARTINS'!D23+'CEI SÃO JOSÉ DO ITAMARATI'!D23+'E M DUQUE DE CAXIAS'!D23+'CENTRO DE EDUCAÇÃO INFANTIL  2'!D23+'E M ANTÔNIO LEITE GARCIA'!D23+'ESCOLA PAROQUIAL DA ALCOBAÇA'!D23+'CENTRO DE EDUCAÇÃO INFANTIL LOT'!D23+'ESCOLA PAROQUIAL DO LOTEAMENTO '!D23+'E M PROF JOAQUIM DEISTER'!D23+'E M MARIETA GONÇALVES'!D23+'ESCOLA MUNICIPAL ODETTE YOUNG M'!D23+'ESCOLA MUNICIPAL PROFESSOR JOSE'!D23+'E M HERCÍLIA HENRIQUES MORET'!D23+'COLEGIO VICENTINO PADRE CORRÊA'!D23+'CEI PROFª MARLUCE DE SOUZA PEST'!D23+'CEI IRINEU MARINHO'!D23+'CEI DAGMAR ROLANDO DE OLIVEIRA'!D23+'CEI NOSSA SENHORA DA GLÓRIA'!D23+'E M PROF NILTON COSTA PEREIRA D'!D23+'CENTRO DE EDUCAÇÃO INFANTIL SÉR'!D23+'CEI SANTO ANTÔNIO AGOSTINHO'!D23+'CEI OSWALDO CRUZ'!D23+'E M MAGDALENA TAGLIAFERRO'!D23+'ESCOLA SÃO JOSÉ DO CAETITU'!D23+'CRECHE-ESCOLA CASTELO SÃO MANOE'!D23+'CEI THEREZINHA DE JESUS LIMA'!D23+'ESCOLA MUNICIPAL PROFESSOR PAUL'!D23+'COLÉGIO ANGLICANO DE ARARAS'!D23+'ESCOLA PAROQUIAL SANTA BERNADET'!D23+'CEI VISTA ALEGRE'!D23+'CEI DENISE BESSA DE OLIVA MAYA'!D23+'CEI VIDEIRINHA'!D23+'E M AMÉRICO FERNANDES RIBEIRO'!D23+'ESCOLA MUNICIPAL AUGUSTO PUGNAL'!D23+'ESCOLA MUNICIPAL CELINA SCHECHN'!D23+'E M DARCY CORREA DA VEIGA'!D23+'E M DR PAULA BUARQUE'!D23+'LICEU SÃO JOSÉ DE ITAIPAVA'!D23+'CEI LUIZ MARCHIORI'!D23+'CENTRO DE EDUCAÇÃO INFANTIL AUG'!D23+'CEI PROFª ADRIANA CONSTÂNCIO TR'!D23+'E M AMÉLIA ANTUNES RABELLO'!D23+'CEI PREFEITO SÉRGIO FADEL'!D23+'E M DR THEODORO MACHADO'!D23+'ESCOLA SANTO ANTÔNIO'!D23+'E M TAQUARIL'!D23+'E M MONSENHOR JOÃO DE DEUS RODR'!D23+'CENTRO DE REFERÊNCIA EM EDUC 2'!D23+'CEI PROFª GRAÇA COSTA'!D23+'CEI VILA LEOPOLDINA'!D23+'CEI NILO PEÇANHA'!D23+'E MZDA SANTA TEREZINHA'!D23+'CEI CRIANÇA SANTA EDWIGES'!D23+'E M ARNALDO DYCKERHOFF'!D23+'E M CARLOS CANEDO'!D23+'E M BEATRIZ ZALESKI'!D23+'E M ANTÔNIO JOSÉ DE LIMA'!D23+'E M FELIX WAN ERVEN DE BARROS'!D23+'ESCOLA MUNICIPAL HILDEBRANDO DE'!D23+'E M OSWALDO DA COSTA FRIAS'!D23+'E MZDA AVELINO DE CARVALHO'!D23+'ESCOLA MUNICIPALIZADA MOYSÉS FU'!D23+'CEI ANGELA MARIA DA CONCEIÇÃO S'!D23+'CEI JOSÉ GONÇALVES DA MOTTA'!D23+'E M DR BARROS FRANCO'!D23+'E M MAJOR THEÓFILO DE CARVALHO'!D23+'E M JOÃO KOPKE'!D23+'CEI ASSOCIAÇÃO BENEFICENTE FAZE'!D23+'ESCOLA SAO FRANCISCO DE ASSIS'!D23+'CEI SÃO FRANCISCO ASSIS'!D23+'CEI ALDEIA DA CRIANCA'!D23+'ESCOLA MUNICIPAL ODETTE FONSECA'!D23+'CEI ANA CAROLINA TELLES'!D23+'E M SEBASTIÃO LACERDA'!D23+'E M DOM PEDRO DE ALCÂNTARA'!D23+'ESCOLA NOSSA SENHORA DE FÁTIMA'!D23+'ESCOLA PAROQUIAL SÃO FRANCISCO '!D23+'E M MONSENHOR CIRILLO CALAON'!D23</f>
        <v/>
      </c>
      <c r="D19" s="206">
        <f>'E M ABELARDO DE LAMARE'!M23+'E M BATAILLARD'!M23+'E M LEONARDO BOFF'!M23+'E M CLEMENTE FERNANDES'!M23+'E M DOM PEDRO DE ALCÂNTARA'!M23+'E M DUQUE DE CAXIAS'!M23+'E M LUIZ CARLOS SOARES'!M23+'ESCOLA MUNICIPAL GENERAL HEITOR'!M23+'E M JOÃO KOPKE'!M23+'ESCOLA MUNICIPAL ODETTE FONSECA'!M23+'E M GOVERNADOR MARCELLO ALENCAR'!M23+'E M PROF JOAQUIM DEISTER'!M23+'E M ROBERT KENNEDY'!M23+'E M ROTARY'!M23+'E M ROSALINA NICOLAY'!M23+'E M DE EDUCAÇÃO ESPECIAL SANTOS'!M23+'E M SOROPTIMISTA'!M23+'LICEU MUN PREFEITO CORDOLINO AM'!M23+'E M ANTÔNIO LEITE GARCIA'!M23+'ESCOLA MUNICIPAL JORGE AMADO'!M23+'ESCOLA MUNICIPAL LÚCIA DE ALMEI'!M23+'E M MAGDALENA TAGLIAFERRO'!M23+'ESCOLA MUNICIPAL MAJOR JÚLIO FR'!M23+'E M MARIETA GONÇALVES'!M23+'ESCOLA MUNICIPAL ODETTE YOUNG M'!M23+'E M FÁBRICA DO SABER'!M23+'ESCOLA MUNICIPAL PROFESSOR PAUL'!M23+'E M ROSEMIRA DE OLIVEIRA CAVALC'!M23+'E M AMÉLIA ANTUNES RABELLO'!M23+'ESCOLA MUNICIPAL AUGUSTO PUGNAL'!M23+'ESCOLA MUNICIPAL CELINA SCHECHN'!M23+'E M DARCY CORREA DA VEIGA'!M23+'E M DR PAULA BUARQUE'!M23+'E M DR THEODORO MACHADO'!M23+'E M ARNALDO DYCKERHOFF'!M23+'E M CARLOS CANEDO'!M23+'E M DR BARROS FRANCO'!M23+'E M MAJOR THEÓFILO DE CARVALHO'!M23+'E M TAQUARIL'!M23+'E M BEATRIZ ZALESKI'!M23+'E M ANTÔNIO JOSÉ DE LIMA'!M23+'E M FELIX WAN ERVEN DE BARROS'!M23+'ESCOLA MUNICIPAL HILDEBRANDO DE'!M23+'E M OSWALDO DA COSTA FRIAS'!M23+'E MZDA CARMEM NUNES MARTINS'!M23+'E MZDA AVELINO DE CARVALHO'!M23+'E M GERALDO VENTURA DIAS'!M23+'E M SALVADOR KLING'!M23+'E M PREFEITO JAMIL SABRÁ'!M23+'LICEU MUNICIPAL CARLOS CHAGAS F'!M23+'ESCOLA MUNICIPAL ANA MOHAMMAD'!M23+'ESCOLA MUNICIPAL ALTO INDEPENDÊ'!M23+'E M ALMIRANTE TAMANDARÉ'!M23+'ESCOLA MUNICIPALIZADA FREI ANIC'!M23+'E M PEDRO AMADO'!M23+'E M PROFª MARIA DA GLÓRIA QUEIR'!M23+'E M SEBASTIÃO LACERDA'!M23+'E M PROFESSOR FLÁVIO MACIEL'!M23+'ESCOLA MUNICIPAL PAULO SALDANHA'!M23+'ESCOLA MUNICIPAL PROFESSOR JOSE'!M23+'E M MONSENHOR CIRILLO CALAON'!M23+'E M AMÉRICO FERNANDES RIBEIRO'!M23+'E M PROFª JANDIRA PEIXOTO BORDI'!M23+'E M MONSENHOR JOÃO DE DEUS RODR'!M23+'E M DOM MANOEL PEDRO DA CUNHA C'!M23+'E M JOHANN NOEL'!M23+'E MZDA SANTA TEREZINHA'!M23+'E M PAPA JOÃO PAULO II'!M23+'E M STEFAN ZWEIG'!M23+'ESCOLA MUNICIPAL SENADOR MARIO '!M23+'E M DR RUBENS DE CASTRO BOMTEMP'!M23+'E M PAULO FREIRE'!M23+'E M PROFª MARIA CAMPOS DA SILVA'!M23+'E M HERCÍLIA HENRIQUES MORET'!M23+'ESCOLA MUNICIPALIZADA MOYSÉS FU'!M23+'CIEP BRIZOLÃO 474 MAESTRO GUERR'!M23+'CENTRO DE ENSINO PROF DARCY RIB'!M23+'CASA DA EDUCAÇÃO VISCONDE DE MA'!M23+'CENTRO DE REFERÊNCIA EM EDUCAÇÃ'!M23+'E M PROF NILTON COSTA PEREIRA D'!M23+'COLÉGIO GUNNAR VINGREN DE PETRÓ'!M23+'CENTRO DE REFERÊNCIA EM EDUC 2'!M23+'ESCOLA SANTA LUIZA DE MARILLAC'!M23+'CENTRO EDUCACIONAL COMUNIDADE S'!M23+'EDUCANDÁRIO TERRA SANTA'!M23+'ESCOLA GERMANO VALENTE'!M23+'ESCOLA DAS COMUNIDADES SANTO AN'!M23+'ESCOLA DOMÉSTICA NOSSA SENHORA '!M23+'ESCOLA PAROQUIAL NOSSA SENHO 3'!M23+'ESCOLA MONSENHOR GENTIL'!M23+'ESCOLA PAROQUIAL BOM JESUS'!M23+'ESCOLA PAROQUIAL CARLOS DEMIÁ'!M23+'ESCOLA PAROQUIAL NOSSA SENHO 2'!M23+'ESCOLA PAROQUIAL NOSSA SENHORA '!M23+'ESCOLA PAROQUIAL SÃO PEDRO DE A'!M23+'ESCOLA SANTA MARIA GORETTI'!M23+'ESCOLA SANTA RITA DE CASSIA'!M23+'ESCOLA SÃO CRISTÓVÃO'!M23+'ESCOLA PAROQUIAL SÃO FRANCISCO '!M23+'ESCOLA SAO FRANCISCO DE ASSIS'!M23+'ESCOLA SÃO JOÃO BATISTA'!M23+'ESCOLA SÃO JUDAS TADEU'!M23+'ESCOLA PAROQUIAL SÃO PIO X'!M23+'COLÉGIO ANGLICANO DE ARARAS'!M23+'COLEGIO VICENTINO PADRE CORRÊA'!M23+'ESCOLA NOSSA SENHORA DE FÁTIMA'!M23+'ESCOLA PAROQUIAL DA ALCOBAÇA'!M23+'ESCOLA PAROQUIAL DO LOTEAMENTO '!M23+'ESCOLA PAROQUIAL SANTA BERNADET'!M23+'ESCOLA SÃO GERALDO'!M23+'ESCOLA SANTO ANTÔNIO'!M23+'LICEU SÃO JOSÉ DE ITAIPAVA'!M23+'ESCOLA SÃO JOSÉ DO CAETITU'!M23+'CEI ASSOCIAÇÃO BENEFICENTE FAZE'!M23+'CEI CASA DA SOLIDARIEDADE DE NO'!M23+'CEI LULU MONTEIRO DE CASTRO'!M23+'CEI SÃO JOÃO BATISTA'!M23+'CEI SÃO FRANCISCO ASSIS'!M23+'CEI A SEMENTEIRA'!M23+'CEI FREI LEÃO'!M23+'CEI ROMANO CANAVESE'!M23+'CEI ANDRÉ VANZAN'!M23+'CEI CRIANÇA SANTA EDWIGES'!M23+'CENTRO DE EDUCAÇÃO INFANTIL IRM'!M23+'CEI PEDRAS BRANCAS'!M23+'CEI INÊS BELARMINO DE SOUZA'!M23+'CEI PROFª ROSANGELA DA SILVA LE'!M23+'CEI VILA SAO JOSE'!M23+'CEI MARIA THEREZA KLING DO VALL'!M23+'CEI DEISE ELOY GOMES'!M23+'CENTRO PAROQUIAL DE EDUCAÇÃO IN'!M23+'CEI VISTA ALEGRE'!M23+'CEI ALDEIA DA CRIANCA'!M23+'CEI DÉA LÚCIA CORDEIRO'!M23+'CENTRO DE EDUCAÇÃO INFANTIL CAR'!M23+'CEI IRMÃ SILVANA'!M23+'CEI MARLI SOARES FERREIRA NETTO'!M23+'CEI PROFª SONIA REGINA SCUDESE '!M23+'CEI DONA ESPERANZA DE BOURBON D'!M23+'CEI PREFEITO SÉRGIO FADEL'!M23+'CEI ANDRÉ REBOUÇAS'!M23+'CENTRO DE EDUCAÇÃO INFANTIL CHI'!M23+'CEI TIA ALICE'!M23+'CEI TERRA SANTA'!M23+'CEI JORGE ROLANDO DA SILVA'!M23+'CEI CARANGOLA'!M23+'CEI CÉLIA LÔBO PAULO'!M23+'CEI LIONS CLUBE DE PETRÓPOLIS'!M23+'CEI PROFª GRAÇA COSTA'!M23+'CEI ANGELA MARIA DA CONCEIÇÃO S'!M23+'CEI LUIZ MARCHIORI'!M23+'CEI PROFª MARLUCE DE SOUZA PEST'!M23+'CEI OLÍVIA MACHADO DA COSTA NOG'!M23+'CEI VILA IPANEMA'!M23+'CEI VILA LEOPOLDINA'!M23+'CENTRO DE EDUCAÇÃO INFANTIL CAS'!M23+'CEI PRIMEIRA INFÂNCIA'!M23+'CEI PROFª DORA KILLER'!M23+'CEI PROFª PATRÍCIA FERREIRA E S'!M23+'CEI DRA ZILDA ARNS NEUMANN'!M23+'CEI DENISE BESSA DE OLIVA MAYA'!M23+'CEI GIUSEPPE-NEVA VOLONTERIO'!M23+'CENTRO DE EDUCAÇÃO INFANTIL LOT'!M23+'CEI IRINEU MARINHO'!M23+'CEI OSWALDO CRUZ'!M23+'CEI ANA CAROLINA TELLES'!M23+'CEI JOSÉ GONÇALVES DA MOTTA'!M23+'CEI SAGRADA FAMÍLIA'!M23+'CEI PROFª HERMÍNIA MATHEUS'!M23+'CENTRO DE EDUCAÇÃO INFANTIL PRO'!M23+'CEI MONSENHOR PAULO ELIAS DAHER'!M23+'CEI DAGMAR ROLANDO DE OLIVEIRA'!M23+'CENTRO DE EDUCAÇÃO INFANTIL  2'!M23+'CEI BOA VISTA'!M23+'CEI NILO PEÇANHA'!M23+'CENTRO DE EDUCAÇÃO INFANTIL AUG'!M23+'CEI THEREZINHA DE JESUS LIMA'!M23+'CEI VIDEIRINHA'!M23+'CEI PROFª ADRIANA CONSTÂNCIO TR'!M23+'CENTRO DE EDUCAÇÃO INFANTIL SÉR'!M23+'CEI JURACI PINTO DO AMARAL DE C'!M23+'CEI NOSSA SENHORA DA GLÓRIA'!M23+'CEI ALTO INDEPENDÊNCIA'!M23+'CEI SÃO JOSÉ DAS OBLATAS DE NAZ'!M23+'CEI SANTO ANTÔNIO AGOSTINHO'!M23+'CEI SÃO CHARBEL'!M23+'ASSOCIAÇÃO DA CRECHE SÃO FRANCI'!M23+'CEI SÃO JOSÉ DO ITAMARATI'!M23+'ASSOCIAÇÃO RECREAR'!M23+'CRECHE-ESCOLA CASTELO SÃO MANOE'!M23+'CENTRO DE EDUCAÇÃO INFANTIL SÃO'!M23</f>
        <v/>
      </c>
      <c r="E19" s="207">
        <f>'Entrada de Dados'!Q2</f>
        <v/>
      </c>
      <c r="F19" s="207">
        <f>D19*E19</f>
        <v/>
      </c>
    </row>
    <row r="20" ht="15" customHeight="1" s="163">
      <c r="A20" s="195">
        <f>'Entrada de Dados'!R5</f>
        <v/>
      </c>
      <c r="B20" s="206">
        <f>'Entrada de Dados'!R197</f>
        <v/>
      </c>
      <c r="C20" s="206">
        <f>'E M ROTARY'!D24+'E M DE EDUCAÇÃO ESPECIAL SANTOS'!D24+'LICEU MUN PREFEITO CORDOLINO AM'!D24+'E M PREFEITO JAMIL SABRÁ'!D24+'LICEU MUNICIPAL CARLOS CHAGAS F'!D24+'E M PAULO FREIRE'!D24+'E M PROFª MARIA CAMPOS DA SILVA'!D24+'CASA DA EDUCAÇÃO VISCONDE DE MA'!D24+'CENTRO DE REFERÊNCIA EM EDUCAÇÃ'!D24+'ESCOLA SANTA LUIZA DE MARILLAC'!D24+'ESCOLA DOMÉSTICA NOSSA SENHORA '!D24+'ESCOLA MONSENHOR GENTIL'!D24+'ESCOLA PAROQUIAL NOSSA SENHORA '!D24+'ESCOLA PAROQUIAL SÃO PEDRO DE A'!D24+'CEI TERRA SANTA'!D24+'CEI PRIMEIRA INFÂNCIA'!D24+'CEI PROFª PATRÍCIA FERREIRA E S'!D24+'CEI DRA ZILDA ARNS NEUMANN'!D24+'CENTRO DE EDUCAÇÃO INFANTIL PRO'!D24+'CEI MONSENHOR PAULO ELIAS DAHER'!D24+'COLÉGIO GUNNAR VINGREN DE PETRÓ'!D24+'EDUCANDÁRIO TERRA SANTA'!D24+'CEI LIONS CLUBE DE PETRÓPOLIS'!D24+'ESCOLA PAROQUIAL NOSSA SENHO 2'!D24+'CENTRO DE EDUCAÇÃO INFANTIL IRM'!D24+'E M LUIZ CARLOS SOARES'!D24+'ESCOLA GERMANO VALENTE'!D24+'ESCOLA PAROQUIAL NOSSA SENHO 3'!D24+'CEI JORGE ROLANDO DA SILVA'!D24+'E M CLEMENTE FERNANDES'!D24+'E M GERALDO VENTURA DIAS'!D24+'ESCOLA DAS COMUNIDADES SANTO AN'!D24+'CEI PROFª ROSANGELA DA SILVA LE'!D24+'CEI DEISE ELOY GOMES'!D24+'CEI PROFª SONIA REGINA SCUDESE '!D24+'CEI TIA ALICE'!D24+'E M BATAILLARD'!D24+'E M SOROPTIMISTA'!D24+'E M SALVADOR KLING'!D24+'ESCOLA MUNICIPALIZADA FREI ANIC'!D24+'ESCOLA SÃO JUDAS TADEU'!D24+'CEI PEDRAS BRANCAS'!D24+'CEI MARIA THEREZA KLING DO VALL'!D24+'CEI DONA ESPERANZA DE BOURBON D'!D24+'CEI GIUSEPPE-NEVA VOLONTERIO'!D24+'CENTRO DE EDUCAÇÃO INFANTIL SÃO'!D24+'E M LEONARDO BOFF'!D24+'ESCOLA MUNICIPAL GENERAL HEITOR'!D24+'E M JOHANN NOEL'!D24+'ESCOLA SANTA MARIA GORETTI'!D24+'ESCOLA SANTA RITA DE CASSIA'!D24+'ESCOLA SÃO JOÃO BATISTA'!D24+'CEI CASA DA SOLIDARIEDADE DE NO'!D24+'CEI A SEMENTEIRA'!D24+'CEI VILA SAO JOSE'!D24+'E M DR RUBENS DE CASTRO BOMTEMP'!D24+'CEI FREI LEÃO'!D24+'CEI SÃO JOÃO BATISTA'!D24+'CEI JURACI PINTO DO AMARAL DE C'!D24+'E M PEDRO AMADO'!D24+'E M ABELARDO DE LAMARE'!D24+'ESCOLA MUNICIPAL SENADOR MARIO '!D24+'ESCOLA PAROQUIAL SÃO PIO X'!D24+'CEI SÃO CHARBEL'!D24+'E M ROSALINA NICOLAY'!D24+'CEI INÊS BELARMINO DE SOUZA'!D24+'E M PROFª MARIA DA GLÓRIA QUEIR'!D24+'CENTRO EDUCACIONAL COMUNIDADE S'!D24+'CEI ROMANO CANAVESE'!D24+'CEI CÉLIA LÔBO PAULO'!D24+'CEI PROFª DORA KILLER'!D24+'CEI ALTO INDEPENDÊNCIA'!D24+'ESCOLA MUNICIPAL ALTO INDEPENDÊ'!D24+'E M PAPA JOÃO PAULO II'!D24+'CEI ANDRÉ REBOUÇAS'!D24+'CEI PROFª HERMÍNIA MATHEUS'!D24+'ESCOLA MUNICIPAL MAJOR JÚLIO FR'!D24+'E M ALMIRANTE TAMANDARÉ'!D24+'ESCOLA PAROQUIAL CARLOS DEMIÁ'!D24+'CENTRO PAROQUIAL DE EDUCAÇÃO IN'!D24+'CEI IRMÃ SILVANA'!D24+'CEI OLÍVIA MACHADO DA COSTA NOG'!D24+'E M GOVERNADOR MARCELLO ALENCAR'!D24+'E M PROFESSOR FLÁVIO MACIEL'!D24+'E M PROFª JANDIRA PEIXOTO BORDI'!D24+'E M STEFAN ZWEIG'!D24+'ESCOLA PAROQUIAL BOM JESUS'!D24+'CEI MARLI SOARES FERREIRA NETTO'!D24+'CENTRO DE EDUCAÇÃO INFANTIL CHI'!D24+'CEI VILA IPANEMA'!D24+'E M ROBERT KENNEDY'!D24+'ESCOLA MUNICIPAL ANA MOHAMMAD'!D24+'ESCOLA SÃO CRISTÓVÃO'!D24+'CEI DÉA LÚCIA CORDEIRO'!D24+'CEI SAGRADA FAMÍLIA'!D24+'CEI SÃO JOSÉ DAS OBLATAS DE NAZ'!D24+'ESCOLA MUNICIPAL JORGE AMADO'!D24+'E M FÁBRICA DO SABER'!D24+'CIEP BRIZOLÃO 474 MAESTRO GUERR'!D24+'CENTRO DE ENSINO PROF DARCY RIB'!D24+'CEI ANDRÉ VANZAN'!D24+'CENTRO DE EDUCAÇÃO INFANTIL CAR'!D24+'CEI BOA VISTA'!D24+'ASSOCIAÇÃO DA CRECHE SÃO FRANCI'!D24+'ESCOLA MUNICIPAL PAULO SALDANHA'!D24+'ESCOLA MUNICIPAL LÚCIA DE ALMEI'!D24+'E M DOM MANOEL PEDRO DA CUNHA C'!D24+'ESCOLA SÃO GERALDO'!D24+'CEI LULU MONTEIRO DE CASTRO'!D24+'CEI CARANGOLA'!D24+'ASSOCIAÇÃO RECREAR'!D24+'CENTRO DE EDUCAÇÃO INFANTIL CAS'!D24+'E M ROSEMIRA DE OLIVEIRA CAVALC'!D24+'E MZDA CARMEM NUNES MARTINS'!D24+'CEI SÃO JOSÉ DO ITAMARATI'!D24+'E M DUQUE DE CAXIAS'!D24+'CENTRO DE EDUCAÇÃO INFANTIL  2'!D24+'E M ANTÔNIO LEITE GARCIA'!D24+'ESCOLA PAROQUIAL DA ALCOBAÇA'!D24+'CENTRO DE EDUCAÇÃO INFANTIL LOT'!D24+'ESCOLA PAROQUIAL DO LOTEAMENTO '!D24+'E M PROF JOAQUIM DEISTER'!D24+'E M MARIETA GONÇALVES'!D24+'ESCOLA MUNICIPAL ODETTE YOUNG M'!D24+'ESCOLA MUNICIPAL PROFESSOR JOSE'!D24+'E M HERCÍLIA HENRIQUES MORET'!D24+'COLEGIO VICENTINO PADRE CORRÊA'!D24+'CEI PROFª MARLUCE DE SOUZA PEST'!D24+'CEI IRINEU MARINHO'!D24+'CEI DAGMAR ROLANDO DE OLIVEIRA'!D24+'CEI NOSSA SENHORA DA GLÓRIA'!D24+'E M PROF NILTON COSTA PEREIRA D'!D24+'CENTRO DE EDUCAÇÃO INFANTIL SÉR'!D24+'CEI SANTO ANTÔNIO AGOSTINHO'!D24+'CEI OSWALDO CRUZ'!D24+'E M MAGDALENA TAGLIAFERRO'!D24+'ESCOLA SÃO JOSÉ DO CAETITU'!D24+'CRECHE-ESCOLA CASTELO SÃO MANOE'!D24+'CEI THEREZINHA DE JESUS LIMA'!D24+'ESCOLA MUNICIPAL PROFESSOR PAUL'!D24+'COLÉGIO ANGLICANO DE ARARAS'!D24+'ESCOLA PAROQUIAL SANTA BERNADET'!D24+'CEI VISTA ALEGRE'!D24+'CEI DENISE BESSA DE OLIVA MAYA'!D24+'CEI VIDEIRINHA'!D24+'E M AMÉRICO FERNANDES RIBEIRO'!D24+'ESCOLA MUNICIPAL AUGUSTO PUGNAL'!D24+'ESCOLA MUNICIPAL CELINA SCHECHN'!D24+'E M DARCY CORREA DA VEIGA'!D24+'E M DR PAULA BUARQUE'!D24+'LICEU SÃO JOSÉ DE ITAIPAVA'!D24+'CEI LUIZ MARCHIORI'!D24+'CENTRO DE EDUCAÇÃO INFANTIL AUG'!D24+'CEI PROFª ADRIANA CONSTÂNCIO TR'!D24+'E M AMÉLIA ANTUNES RABELLO'!D24+'CEI PREFEITO SÉRGIO FADEL'!D24+'E M DR THEODORO MACHADO'!D24+'ESCOLA SANTO ANTÔNIO'!D24+'E M TAQUARIL'!D24+'E M MONSENHOR JOÃO DE DEUS RODR'!D24+'CENTRO DE REFERÊNCIA EM EDUC 2'!D24+'CEI PROFª GRAÇA COSTA'!D24+'CEI VILA LEOPOLDINA'!D24+'CEI NILO PEÇANHA'!D24+'E MZDA SANTA TEREZINHA'!D24+'CEI CRIANÇA SANTA EDWIGES'!D24+'E M ARNALDO DYCKERHOFF'!D24+'E M CARLOS CANEDO'!D24+'E M BEATRIZ ZALESKI'!D24+'E M ANTÔNIO JOSÉ DE LIMA'!D24+'E M FELIX WAN ERVEN DE BARROS'!D24+'ESCOLA MUNICIPAL HILDEBRANDO DE'!D24+'E M OSWALDO DA COSTA FRIAS'!D24+'E MZDA AVELINO DE CARVALHO'!D24+'ESCOLA MUNICIPALIZADA MOYSÉS FU'!D24+'CEI ANGELA MARIA DA CONCEIÇÃO S'!D24+'CEI JOSÉ GONÇALVES DA MOTTA'!D24+'E M DR BARROS FRANCO'!D24+'E M MAJOR THEÓFILO DE CARVALHO'!D24+'E M JOÃO KOPKE'!D24+'CEI ASSOCIAÇÃO BENEFICENTE FAZE'!D24+'ESCOLA SAO FRANCISCO DE ASSIS'!D24+'CEI SÃO FRANCISCO ASSIS'!D24+'CEI ALDEIA DA CRIANCA'!D24+'ESCOLA MUNICIPAL ODETTE FONSECA'!D24+'CEI ANA CAROLINA TELLES'!D24+'E M SEBASTIÃO LACERDA'!D24+'E M DOM PEDRO DE ALCÂNTARA'!D24+'ESCOLA NOSSA SENHORA DE FÁTIMA'!D24+'ESCOLA PAROQUIAL SÃO FRANCISCO '!D24+'E M MONSENHOR CIRILLO CALAON'!D24</f>
        <v/>
      </c>
      <c r="D20" s="206">
        <f>'E M ABELARDO DE LAMARE'!M24+'E M BATAILLARD'!M24+'E M LEONARDO BOFF'!M24+'E M CLEMENTE FERNANDES'!M24+'E M DOM PEDRO DE ALCÂNTARA'!M24+'E M DUQUE DE CAXIAS'!M24+'E M LUIZ CARLOS SOARES'!M24+'ESCOLA MUNICIPAL GENERAL HEITOR'!M24+'E M JOÃO KOPKE'!M24+'ESCOLA MUNICIPAL ODETTE FONSECA'!M24+'E M GOVERNADOR MARCELLO ALENCAR'!M24+'E M PROF JOAQUIM DEISTER'!M24+'E M ROBERT KENNEDY'!M24+'E M ROTARY'!M24+'E M ROSALINA NICOLAY'!M24+'E M DE EDUCAÇÃO ESPECIAL SANTOS'!M24+'E M SOROPTIMISTA'!M24+'LICEU MUN PREFEITO CORDOLINO AM'!M24+'E M ANTÔNIO LEITE GARCIA'!M24+'ESCOLA MUNICIPAL JORGE AMADO'!M24+'ESCOLA MUNICIPAL LÚCIA DE ALMEI'!M24+'E M MAGDALENA TAGLIAFERRO'!M24+'ESCOLA MUNICIPAL MAJOR JÚLIO FR'!M24+'E M MARIETA GONÇALVES'!M24+'ESCOLA MUNICIPAL ODETTE YOUNG M'!M24+'E M FÁBRICA DO SABER'!M24+'ESCOLA MUNICIPAL PROFESSOR PAUL'!M24+'E M ROSEMIRA DE OLIVEIRA CAVALC'!M24+'E M AMÉLIA ANTUNES RABELLO'!M24+'ESCOLA MUNICIPAL AUGUSTO PUGNAL'!M24+'ESCOLA MUNICIPAL CELINA SCHECHN'!M24+'E M DARCY CORREA DA VEIGA'!M24+'E M DR PAULA BUARQUE'!M24+'E M DR THEODORO MACHADO'!M24+'E M ARNALDO DYCKERHOFF'!M24+'E M CARLOS CANEDO'!M24+'E M DR BARROS FRANCO'!M24+'E M MAJOR THEÓFILO DE CARVALHO'!M24+'E M TAQUARIL'!M24+'E M BEATRIZ ZALESKI'!M24+'E M ANTÔNIO JOSÉ DE LIMA'!M24+'E M FELIX WAN ERVEN DE BARROS'!M24+'ESCOLA MUNICIPAL HILDEBRANDO DE'!M24+'E M OSWALDO DA COSTA FRIAS'!M24+'E MZDA CARMEM NUNES MARTINS'!M24+'E MZDA AVELINO DE CARVALHO'!M24+'E M GERALDO VENTURA DIAS'!M24+'E M SALVADOR KLING'!M24+'E M PREFEITO JAMIL SABRÁ'!M24+'LICEU MUNICIPAL CARLOS CHAGAS F'!M24+'ESCOLA MUNICIPAL ANA MOHAMMAD'!M24+'ESCOLA MUNICIPAL ALTO INDEPENDÊ'!M24+'E M ALMIRANTE TAMANDARÉ'!M24+'ESCOLA MUNICIPALIZADA FREI ANIC'!M24+'E M PEDRO AMADO'!M24+'E M PROFª MARIA DA GLÓRIA QUEIR'!M24+'E M SEBASTIÃO LACERDA'!M24+'E M PROFESSOR FLÁVIO MACIEL'!M24+'ESCOLA MUNICIPAL PAULO SALDANHA'!M24+'ESCOLA MUNICIPAL PROFESSOR JOSE'!M24+'E M MONSENHOR CIRILLO CALAON'!M24+'E M AMÉRICO FERNANDES RIBEIRO'!M24+'E M PROFª JANDIRA PEIXOTO BORDI'!M24+'E M MONSENHOR JOÃO DE DEUS RODR'!M24+'E M DOM MANOEL PEDRO DA CUNHA C'!M24+'E M JOHANN NOEL'!M24+'E MZDA SANTA TEREZINHA'!M24+'E M PAPA JOÃO PAULO II'!M24+'E M STEFAN ZWEIG'!M24+'ESCOLA MUNICIPAL SENADOR MARIO '!M24+'E M DR RUBENS DE CASTRO BOMTEMP'!M24+'E M PAULO FREIRE'!M24+'E M PROFª MARIA CAMPOS DA SILVA'!M24+'E M HERCÍLIA HENRIQUES MORET'!M24+'ESCOLA MUNICIPALIZADA MOYSÉS FU'!M24+'CIEP BRIZOLÃO 474 MAESTRO GUERR'!M24+'CENTRO DE ENSINO PROF DARCY RIB'!M24+'CASA DA EDUCAÇÃO VISCONDE DE MA'!M24+'CENTRO DE REFERÊNCIA EM EDUCAÇÃ'!M24+'E M PROF NILTON COSTA PEREIRA D'!M24+'COLÉGIO GUNNAR VINGREN DE PETRÓ'!M24+'CENTRO DE REFERÊNCIA EM EDUC 2'!M24+'ESCOLA SANTA LUIZA DE MARILLAC'!M24+'CENTRO EDUCACIONAL COMUNIDADE S'!M24+'EDUCANDÁRIO TERRA SANTA'!M24+'ESCOLA GERMANO VALENTE'!M24+'ESCOLA DAS COMUNIDADES SANTO AN'!M24+'ESCOLA DOMÉSTICA NOSSA SENHORA '!M24+'ESCOLA PAROQUIAL NOSSA SENHO 3'!M24+'ESCOLA MONSENHOR GENTIL'!M24+'ESCOLA PAROQUIAL BOM JESUS'!M24+'ESCOLA PAROQUIAL CARLOS DEMIÁ'!M24+'ESCOLA PAROQUIAL NOSSA SENHO 2'!M24+'ESCOLA PAROQUIAL NOSSA SENHORA '!M24+'ESCOLA PAROQUIAL SÃO PEDRO DE A'!M24+'ESCOLA SANTA MARIA GORETTI'!M24+'ESCOLA SANTA RITA DE CASSIA'!M24+'ESCOLA SÃO CRISTÓVÃO'!M24+'ESCOLA PAROQUIAL SÃO FRANCISCO '!M24+'ESCOLA SAO FRANCISCO DE ASSIS'!M24+'ESCOLA SÃO JOÃO BATISTA'!M24+'ESCOLA SÃO JUDAS TADEU'!M24+'ESCOLA PAROQUIAL SÃO PIO X'!M24+'COLÉGIO ANGLICANO DE ARARAS'!M24+'COLEGIO VICENTINO PADRE CORRÊA'!M24+'ESCOLA NOSSA SENHORA DE FÁTIMA'!M24+'ESCOLA PAROQUIAL DA ALCOBAÇA'!M24+'ESCOLA PAROQUIAL DO LOTEAMENTO '!M24+'ESCOLA PAROQUIAL SANTA BERNADET'!M24+'ESCOLA SÃO GERALDO'!M24+'ESCOLA SANTO ANTÔNIO'!M24+'LICEU SÃO JOSÉ DE ITAIPAVA'!M24+'ESCOLA SÃO JOSÉ DO CAETITU'!M24+'CEI ASSOCIAÇÃO BENEFICENTE FAZE'!M24+'CEI CASA DA SOLIDARIEDADE DE NO'!M24+'CEI LULU MONTEIRO DE CASTRO'!M24+'CEI SÃO JOÃO BATISTA'!M24+'CEI SÃO FRANCISCO ASSIS'!M24+'CEI A SEMENTEIRA'!M24+'CEI FREI LEÃO'!M24+'CEI ROMANO CANAVESE'!M24+'CEI ANDRÉ VANZAN'!M24+'CEI CRIANÇA SANTA EDWIGES'!M24+'CENTRO DE EDUCAÇÃO INFANTIL IRM'!M24+'CEI PEDRAS BRANCAS'!M24+'CEI INÊS BELARMINO DE SOUZA'!M24+'CEI PROFª ROSANGELA DA SILVA LE'!M24+'CEI VILA SAO JOSE'!M24+'CEI MARIA THEREZA KLING DO VALL'!M24+'CEI DEISE ELOY GOMES'!M24+'CENTRO PAROQUIAL DE EDUCAÇÃO IN'!M24+'CEI VISTA ALEGRE'!M24+'CEI ALDEIA DA CRIANCA'!M24+'CEI DÉA LÚCIA CORDEIRO'!M24+'CENTRO DE EDUCAÇÃO INFANTIL CAR'!M24+'CEI IRMÃ SILVANA'!M24+'CEI MARLI SOARES FERREIRA NETTO'!M24+'CEI PROFª SONIA REGINA SCUDESE '!M24+'CEI DONA ESPERANZA DE BOURBON D'!M24+'CEI PREFEITO SÉRGIO FADEL'!M24+'CEI ANDRÉ REBOUÇAS'!M24+'CENTRO DE EDUCAÇÃO INFANTIL CHI'!M24+'CEI TIA ALICE'!M24+'CEI TERRA SANTA'!M24+'CEI JORGE ROLANDO DA SILVA'!M24+'CEI CARANGOLA'!M24+'CEI CÉLIA LÔBO PAULO'!M24+'CEI LIONS CLUBE DE PETRÓPOLIS'!M24+'CEI PROFª GRAÇA COSTA'!M24+'CEI ANGELA MARIA DA CONCEIÇÃO S'!M24+'CEI LUIZ MARCHIORI'!M24+'CEI PROFª MARLUCE DE SOUZA PEST'!M24+'CEI OLÍVIA MACHADO DA COSTA NOG'!M24+'CEI VILA IPANEMA'!M24+'CEI VILA LEOPOLDINA'!M24+'CENTRO DE EDUCAÇÃO INFANTIL CAS'!M24+'CEI PRIMEIRA INFÂNCIA'!M24+'CEI PROFª DORA KILLER'!M24+'CEI PROFª PATRÍCIA FERREIRA E S'!M24+'CEI DRA ZILDA ARNS NEUMANN'!M24+'CEI DENISE BESSA DE OLIVA MAYA'!M24+'CEI GIUSEPPE-NEVA VOLONTERIO'!M24+'CENTRO DE EDUCAÇÃO INFANTIL LOT'!M24+'CEI IRINEU MARINHO'!M24+'CEI OSWALDO CRUZ'!M24+'CEI ANA CAROLINA TELLES'!M24+'CEI JOSÉ GONÇALVES DA MOTTA'!M24+'CEI SAGRADA FAMÍLIA'!M24+'CEI PROFª HERMÍNIA MATHEUS'!M24+'CENTRO DE EDUCAÇÃO INFANTIL PRO'!M24+'CEI MONSENHOR PAULO ELIAS DAHER'!M24+'CEI DAGMAR ROLANDO DE OLIVEIRA'!M24+'CENTRO DE EDUCAÇÃO INFANTIL  2'!M24+'CEI BOA VISTA'!M24+'CEI NILO PEÇANHA'!M24+'CENTRO DE EDUCAÇÃO INFANTIL AUG'!M24+'CEI THEREZINHA DE JESUS LIMA'!M24+'CEI VIDEIRINHA'!M24+'CEI PROFª ADRIANA CONSTÂNCIO TR'!M24+'CENTRO DE EDUCAÇÃO INFANTIL SÉR'!M24+'CEI JURACI PINTO DO AMARAL DE C'!M24+'CEI NOSSA SENHORA DA GLÓRIA'!M24+'CEI ALTO INDEPENDÊNCIA'!M24+'CEI SÃO JOSÉ DAS OBLATAS DE NAZ'!M24+'CEI SANTO ANTÔNIO AGOSTINHO'!M24+'CEI SÃO CHARBEL'!M24+'ASSOCIAÇÃO DA CRECHE SÃO FRANCI'!M24+'CEI SÃO JOSÉ DO ITAMARATI'!M24+'ASSOCIAÇÃO RECREAR'!M24+'CRECHE-ESCOLA CASTELO SÃO MANOE'!M24+'CENTRO DE EDUCAÇÃO INFANTIL SÃO'!M24</f>
        <v/>
      </c>
      <c r="E20" s="207">
        <f>'Entrada de Dados'!R2</f>
        <v/>
      </c>
      <c r="F20" s="207">
        <f>D20*E20</f>
        <v/>
      </c>
    </row>
    <row r="21" hidden="1" ht="15" customHeight="1" s="163">
      <c r="A21" s="195">
        <f>'Entrada de Dados'!S5</f>
        <v/>
      </c>
      <c r="B21" s="206">
        <f>'Entrada de Dados'!S197</f>
        <v/>
      </c>
      <c r="C21" s="206">
        <f>'E M ROTARY'!D25+'E M DE EDUCAÇÃO ESPECIAL SANTOS'!D25+'LICEU MUN PREFEITO CORDOLINO AM'!D25+'E M PREFEITO JAMIL SABRÁ'!D25+'LICEU MUNICIPAL CARLOS CHAGAS F'!D25+'E M PAULO FREIRE'!D25+'E M PROFª MARIA CAMPOS DA SILVA'!D25+'CASA DA EDUCAÇÃO VISCONDE DE MA'!D25+'CENTRO DE REFERÊNCIA EM EDUCAÇÃ'!D25+'ESCOLA SANTA LUIZA DE MARILLAC'!D25+'ESCOLA DOMÉSTICA NOSSA SENHORA '!D25+'ESCOLA MONSENHOR GENTIL'!D25+'ESCOLA PAROQUIAL NOSSA SENHORA '!D25+'ESCOLA PAROQUIAL SÃO PEDRO DE A'!D25+'CEI TERRA SANTA'!D25+'CEI PRIMEIRA INFÂNCIA'!D25+'CEI PROFª PATRÍCIA FERREIRA E S'!D25+'CEI DRA ZILDA ARNS NEUMANN'!D25+'CENTRO DE EDUCAÇÃO INFANTIL PRO'!D25+'CEI MONSENHOR PAULO ELIAS DAHER'!D25+'COLÉGIO GUNNAR VINGREN DE PETRÓ'!D25+'EDUCANDÁRIO TERRA SANTA'!D25+'CEI LIONS CLUBE DE PETRÓPOLIS'!D25+'ESCOLA PAROQUIAL NOSSA SENHO 2'!D25+'CENTRO DE EDUCAÇÃO INFANTIL IRM'!D25+'E M LUIZ CARLOS SOARES'!D25+'ESCOLA GERMANO VALENTE'!D25+'ESCOLA PAROQUIAL NOSSA SENHO 3'!D25+'CEI JORGE ROLANDO DA SILVA'!D25+'E M CLEMENTE FERNANDES'!D25+'E M GERALDO VENTURA DIAS'!D25+'ESCOLA DAS COMUNIDADES SANTO AN'!D25+'CEI PROFª ROSANGELA DA SILVA LE'!D25+'CEI DEISE ELOY GOMES'!D25+'CEI PROFª SONIA REGINA SCUDESE '!D25+'CEI TIA ALICE'!D25+'E M BATAILLARD'!D25+'E M SOROPTIMISTA'!D25+'E M SALVADOR KLING'!D25+'ESCOLA MUNICIPALIZADA FREI ANIC'!D25+'ESCOLA SÃO JUDAS TADEU'!D25+'CEI PEDRAS BRANCAS'!D25+'CEI MARIA THEREZA KLING DO VALL'!D25+'CEI DONA ESPERANZA DE BOURBON D'!D25+'CEI GIUSEPPE-NEVA VOLONTERIO'!D25+'CENTRO DE EDUCAÇÃO INFANTIL SÃO'!D25+'E M LEONARDO BOFF'!D25+'ESCOLA MUNICIPAL GENERAL HEITOR'!D25+'E M JOHANN NOEL'!D25+'ESCOLA SANTA MARIA GORETTI'!D25+'ESCOLA SANTA RITA DE CASSIA'!D25+'ESCOLA SÃO JOÃO BATISTA'!D25+'CEI CASA DA SOLIDARIEDADE DE NO'!D25+'CEI A SEMENTEIRA'!D25+'CEI VILA SAO JOSE'!D25+'E M DR RUBENS DE CASTRO BOMTEMP'!D25+'CEI FREI LEÃO'!D25+'CEI SÃO JOÃO BATISTA'!D25+'CEI JURACI PINTO DO AMARAL DE C'!D25+'E M PEDRO AMADO'!D25+'E M ABELARDO DE LAMARE'!D25+'ESCOLA MUNICIPAL SENADOR MARIO '!D25+'ESCOLA PAROQUIAL SÃO PIO X'!D25+'CEI SÃO CHARBEL'!D25+'E M ROSALINA NICOLAY'!D25+'CEI INÊS BELARMINO DE SOUZA'!D25+'E M PROFª MARIA DA GLÓRIA QUEIR'!D25+'CENTRO EDUCACIONAL COMUNIDADE S'!D25+'CEI ROMANO CANAVESE'!D25+'CEI CÉLIA LÔBO PAULO'!D25+'CEI PROFª DORA KILLER'!D25+'CEI ALTO INDEPENDÊNCIA'!D25+'ESCOLA MUNICIPAL ALTO INDEPENDÊ'!D25+'E M PAPA JOÃO PAULO II'!D25+'CEI ANDRÉ REBOUÇAS'!D25+'CEI PROFª HERMÍNIA MATHEUS'!D25+'ESCOLA MUNICIPAL MAJOR JÚLIO FR'!D25+'E M ALMIRANTE TAMANDARÉ'!D25+'ESCOLA PAROQUIAL CARLOS DEMIÁ'!D25+'CENTRO PAROQUIAL DE EDUCAÇÃO IN'!D25+'CEI IRMÃ SILVANA'!D25+'CEI OLÍVIA MACHADO DA COSTA NOG'!D25+'E M GOVERNADOR MARCELLO ALENCAR'!D25+'E M PROFESSOR FLÁVIO MACIEL'!D25+'E M PROFª JANDIRA PEIXOTO BORDI'!D25+'E M STEFAN ZWEIG'!D25+'ESCOLA PAROQUIAL BOM JESUS'!D25+'CEI MARLI SOARES FERREIRA NETTO'!D25+'CENTRO DE EDUCAÇÃO INFANTIL CHI'!D25+'CEI VILA IPANEMA'!D25+'E M ROBERT KENNEDY'!D25+'ESCOLA MUNICIPAL ANA MOHAMMAD'!D25+'ESCOLA SÃO CRISTÓVÃO'!D25+'CEI DÉA LÚCIA CORDEIRO'!D25+'CEI SAGRADA FAMÍLIA'!D25+'CEI SÃO JOSÉ DAS OBLATAS DE NAZ'!D25+'ESCOLA MUNICIPAL JORGE AMADO'!D25+'E M FÁBRICA DO SABER'!D25+'CIEP BRIZOLÃO 474 MAESTRO GUERR'!D25+'CENTRO DE ENSINO PROF DARCY RIB'!D25+'CEI ANDRÉ VANZAN'!D25+'CENTRO DE EDUCAÇÃO INFANTIL CAR'!D25+'CEI BOA VISTA'!D25+'ASSOCIAÇÃO DA CRECHE SÃO FRANCI'!D25+'ESCOLA MUNICIPAL PAULO SALDANHA'!D25+'ESCOLA MUNICIPAL LÚCIA DE ALMEI'!D25+'E M DOM MANOEL PEDRO DA CUNHA C'!D25+'ESCOLA SÃO GERALDO'!D25+'CEI LULU MONTEIRO DE CASTRO'!D25+'CEI CARANGOLA'!D25+'ASSOCIAÇÃO RECREAR'!D25+'CENTRO DE EDUCAÇÃO INFANTIL CAS'!D25+'E M ROSEMIRA DE OLIVEIRA CAVALC'!D25+'E MZDA CARMEM NUNES MARTINS'!D25+'CEI SÃO JOSÉ DO ITAMARATI'!D25+'E M DUQUE DE CAXIAS'!D25+'CENTRO DE EDUCAÇÃO INFANTIL  2'!D25+'E M ANTÔNIO LEITE GARCIA'!D25+'ESCOLA PAROQUIAL DA ALCOBAÇA'!D25+'CENTRO DE EDUCAÇÃO INFANTIL LOT'!D25+'ESCOLA PAROQUIAL DO LOTEAMENTO '!D25+'E M PROF JOAQUIM DEISTER'!D25+'E M MARIETA GONÇALVES'!D25+'ESCOLA MUNICIPAL ODETTE YOUNG M'!D25+'ESCOLA MUNICIPAL PROFESSOR JOSE'!D25+'E M HERCÍLIA HENRIQUES MORET'!D25+'COLEGIO VICENTINO PADRE CORRÊA'!D25+'CEI PROFª MARLUCE DE SOUZA PEST'!D25+'CEI IRINEU MARINHO'!D25+'CEI DAGMAR ROLANDO DE OLIVEIRA'!D25+'CEI NOSSA SENHORA DA GLÓRIA'!D25+'E M PROF NILTON COSTA PEREIRA D'!D25+'CENTRO DE EDUCAÇÃO INFANTIL SÉR'!D25+'CEI SANTO ANTÔNIO AGOSTINHO'!D25+'CEI OSWALDO CRUZ'!D25+'E M MAGDALENA TAGLIAFERRO'!D25+'ESCOLA SÃO JOSÉ DO CAETITU'!D25+'CRECHE-ESCOLA CASTELO SÃO MANOE'!D25+'CEI THEREZINHA DE JESUS LIMA'!D25+'ESCOLA MUNICIPAL PROFESSOR PAUL'!D25+'COLÉGIO ANGLICANO DE ARARAS'!D25+'ESCOLA PAROQUIAL SANTA BERNADET'!D25+'CEI VISTA ALEGRE'!D25+'CEI DENISE BESSA DE OLIVA MAYA'!D25+'CEI VIDEIRINHA'!D25+'E M AMÉRICO FERNANDES RIBEIRO'!D25+'ESCOLA MUNICIPAL AUGUSTO PUGNAL'!D25+'ESCOLA MUNICIPAL CELINA SCHECHN'!D25+'E M DARCY CORREA DA VEIGA'!D25+'E M DR PAULA BUARQUE'!D25+'LICEU SÃO JOSÉ DE ITAIPAVA'!D25+'CEI LUIZ MARCHIORI'!D25+'CENTRO DE EDUCAÇÃO INFANTIL AUG'!D25+'CEI PROFª ADRIANA CONSTÂNCIO TR'!D25+'E M AMÉLIA ANTUNES RABELLO'!D25+'CEI PREFEITO SÉRGIO FADEL'!D25+'E M DR THEODORO MACHADO'!D25+'ESCOLA SANTO ANTÔNIO'!D25+'E M TAQUARIL'!D25+'E M MONSENHOR JOÃO DE DEUS RODR'!D25+'CENTRO DE REFERÊNCIA EM EDUC 2'!D25+'CEI PROFª GRAÇA COSTA'!D25+'CEI VILA LEOPOLDINA'!D25+'CEI NILO PEÇANHA'!D25+'E MZDA SANTA TEREZINHA'!D25+'CEI CRIANÇA SANTA EDWIGES'!D25+'E M ARNALDO DYCKERHOFF'!D25+'E M CARLOS CANEDO'!D25+'E M BEATRIZ ZALESKI'!D25+'E M ANTÔNIO JOSÉ DE LIMA'!D25+'E M FELIX WAN ERVEN DE BARROS'!D25+'ESCOLA MUNICIPAL HILDEBRANDO DE'!D25+'E M OSWALDO DA COSTA FRIAS'!D25+'E MZDA AVELINO DE CARVALHO'!D25+'ESCOLA MUNICIPALIZADA MOYSÉS FU'!D25+'CEI ANGELA MARIA DA CONCEIÇÃO S'!D25+'CEI JOSÉ GONÇALVES DA MOTTA'!D25+'E M DR BARROS FRANCO'!D25+'E M MAJOR THEÓFILO DE CARVALHO'!D25+'E M JOÃO KOPKE'!D25+'CEI ASSOCIAÇÃO BENEFICENTE FAZE'!D25+'ESCOLA SAO FRANCISCO DE ASSIS'!D25+'CEI SÃO FRANCISCO ASSIS'!D25+'CEI ALDEIA DA CRIANCA'!D25+'ESCOLA MUNICIPAL ODETTE FONSECA'!D25+'CEI ANA CAROLINA TELLES'!D25+'E M SEBASTIÃO LACERDA'!D25+'E M DOM PEDRO DE ALCÂNTARA'!D25+'ESCOLA NOSSA SENHORA DE FÁTIMA'!D25+'ESCOLA PAROQUIAL SÃO FRANCISCO '!D25+'E M MONSENHOR CIRILLO CALAON'!D25</f>
        <v/>
      </c>
      <c r="D21" s="206">
        <f>'E M ABELARDO DE LAMARE'!M25+'E M BATAILLARD'!M25+'E M LEONARDO BOFF'!M25+'E M CLEMENTE FERNANDES'!M25+'E M DOM PEDRO DE ALCÂNTARA'!M25+'E M DUQUE DE CAXIAS'!M25+'E M LUIZ CARLOS SOARES'!M25+'ESCOLA MUNICIPAL GENERAL HEITOR'!M25+'E M JOÃO KOPKE'!M25+'ESCOLA MUNICIPAL ODETTE FONSECA'!M25+'E M GOVERNADOR MARCELLO ALENCAR'!M25+'E M PROF JOAQUIM DEISTER'!M25+'E M ROBERT KENNEDY'!M25+'E M ROTARY'!M25+'E M ROSALINA NICOLAY'!M25+'E M DE EDUCAÇÃO ESPECIAL SANTOS'!M25+'E M SOROPTIMISTA'!M25+'LICEU MUN PREFEITO CORDOLINO AM'!M25+'E M ANTÔNIO LEITE GARCIA'!M25+'ESCOLA MUNICIPAL JORGE AMADO'!M25+'ESCOLA MUNICIPAL LÚCIA DE ALMEI'!M25+'E M MAGDALENA TAGLIAFERRO'!M25+'ESCOLA MUNICIPAL MAJOR JÚLIO FR'!M25+'E M MARIETA GONÇALVES'!M25+'ESCOLA MUNICIPAL ODETTE YOUNG M'!M25+'E M FÁBRICA DO SABER'!M25+'ESCOLA MUNICIPAL PROFESSOR PAUL'!M25+'E M ROSEMIRA DE OLIVEIRA CAVALC'!M25+'E M AMÉLIA ANTUNES RABELLO'!M25+'ESCOLA MUNICIPAL AUGUSTO PUGNAL'!M25+'ESCOLA MUNICIPAL CELINA SCHECHN'!M25+'E M DARCY CORREA DA VEIGA'!M25+'E M DR PAULA BUARQUE'!M25+'E M DR THEODORO MACHADO'!M25+'E M ARNALDO DYCKERHOFF'!M25+'E M CARLOS CANEDO'!M25+'E M DR BARROS FRANCO'!M25+'E M MAJOR THEÓFILO DE CARVALHO'!M25+'E M TAQUARIL'!M25+'E M BEATRIZ ZALESKI'!M25+'E M ANTÔNIO JOSÉ DE LIMA'!M25+'E M FELIX WAN ERVEN DE BARROS'!M25+'ESCOLA MUNICIPAL HILDEBRANDO DE'!M25+'E M OSWALDO DA COSTA FRIAS'!M25+'E MZDA CARMEM NUNES MARTINS'!M25+'E MZDA AVELINO DE CARVALHO'!M25+'E M GERALDO VENTURA DIAS'!M25+'E M SALVADOR KLING'!M25+'E M PREFEITO JAMIL SABRÁ'!M25+'LICEU MUNICIPAL CARLOS CHAGAS F'!M25+'ESCOLA MUNICIPAL ANA MOHAMMAD'!M25+'ESCOLA MUNICIPAL ALTO INDEPENDÊ'!M25+'E M ALMIRANTE TAMANDARÉ'!M25+'ESCOLA MUNICIPALIZADA FREI ANIC'!M25+'E M PEDRO AMADO'!M25+'E M PROFª MARIA DA GLÓRIA QUEIR'!M25+'E M SEBASTIÃO LACERDA'!M25+'E M PROFESSOR FLÁVIO MACIEL'!M25+'ESCOLA MUNICIPAL PAULO SALDANHA'!M25+'ESCOLA MUNICIPAL PROFESSOR JOSE'!M25+'E M MONSENHOR CIRILLO CALAON'!M25+'E M AMÉRICO FERNANDES RIBEIRO'!M25+'E M PROFª JANDIRA PEIXOTO BORDI'!M25+'E M MONSENHOR JOÃO DE DEUS RODR'!M25+'E M DOM MANOEL PEDRO DA CUNHA C'!M25+'E M JOHANN NOEL'!M25+'E MZDA SANTA TEREZINHA'!M25+'E M PAPA JOÃO PAULO II'!M25+'E M STEFAN ZWEIG'!M25+'ESCOLA MUNICIPAL SENADOR MARIO '!M25+'E M DR RUBENS DE CASTRO BOMTEMP'!M25+'E M PAULO FREIRE'!M25+'E M PROFª MARIA CAMPOS DA SILVA'!M25+'E M HERCÍLIA HENRIQUES MORET'!M25+'ESCOLA MUNICIPALIZADA MOYSÉS FU'!M25+'CIEP BRIZOLÃO 474 MAESTRO GUERR'!M25+'CENTRO DE ENSINO PROF DARCY RIB'!M25+'CASA DA EDUCAÇÃO VISCONDE DE MA'!M25+'CENTRO DE REFERÊNCIA EM EDUCAÇÃ'!M25+'E M PROF NILTON COSTA PEREIRA D'!M25+'COLÉGIO GUNNAR VINGREN DE PETRÓ'!M25+'CENTRO DE REFERÊNCIA EM EDUC 2'!M25+'ESCOLA SANTA LUIZA DE MARILLAC'!M25+'CENTRO EDUCACIONAL COMUNIDADE S'!M25+'EDUCANDÁRIO TERRA SANTA'!M25+'ESCOLA GERMANO VALENTE'!M25+'ESCOLA DAS COMUNIDADES SANTO AN'!M25+'ESCOLA DOMÉSTICA NOSSA SENHORA '!M25+'ESCOLA PAROQUIAL NOSSA SENHO 3'!M25+'ESCOLA MONSENHOR GENTIL'!M25+'ESCOLA PAROQUIAL BOM JESUS'!M25+'ESCOLA PAROQUIAL CARLOS DEMIÁ'!M25+'ESCOLA PAROQUIAL NOSSA SENHO 2'!M25+'ESCOLA PAROQUIAL NOSSA SENHORA '!M25+'ESCOLA PAROQUIAL SÃO PEDRO DE A'!M25+'ESCOLA SANTA MARIA GORETTI'!M25+'ESCOLA SANTA RITA DE CASSIA'!M25+'ESCOLA SÃO CRISTÓVÃO'!M25+'ESCOLA PAROQUIAL SÃO FRANCISCO '!M25+'ESCOLA SAO FRANCISCO DE ASSIS'!M25+'ESCOLA SÃO JOÃO BATISTA'!M25+'ESCOLA SÃO JUDAS TADEU'!M25+'ESCOLA PAROQUIAL SÃO PIO X'!M25+'COLÉGIO ANGLICANO DE ARARAS'!M25+'COLEGIO VICENTINO PADRE CORRÊA'!M25+'ESCOLA NOSSA SENHORA DE FÁTIMA'!M25+'ESCOLA PAROQUIAL DA ALCOBAÇA'!M25+'ESCOLA PAROQUIAL DO LOTEAMENTO '!M25+'ESCOLA PAROQUIAL SANTA BERNADET'!M25+'ESCOLA SÃO GERALDO'!M25+'ESCOLA SANTO ANTÔNIO'!M25+'LICEU SÃO JOSÉ DE ITAIPAVA'!M25+'ESCOLA SÃO JOSÉ DO CAETITU'!M25+'CEI ASSOCIAÇÃO BENEFICENTE FAZE'!M25+'CEI CASA DA SOLIDARIEDADE DE NO'!M25+'CEI LULU MONTEIRO DE CASTRO'!M25+'CEI SÃO JOÃO BATISTA'!M25+'CEI SÃO FRANCISCO ASSIS'!M25+'CEI A SEMENTEIRA'!M25+'CEI FREI LEÃO'!M25+'CEI ROMANO CANAVESE'!M25+'CEI ANDRÉ VANZAN'!M25+'CEI CRIANÇA SANTA EDWIGES'!M25+'CENTRO DE EDUCAÇÃO INFANTIL IRM'!M25+'CEI PEDRAS BRANCAS'!M25+'CEI INÊS BELARMINO DE SOUZA'!M25+'CEI PROFª ROSANGELA DA SILVA LE'!M25+'CEI VILA SAO JOSE'!M25+'CEI MARIA THEREZA KLING DO VALL'!M25+'CEI DEISE ELOY GOMES'!M25+'CENTRO PAROQUIAL DE EDUCAÇÃO IN'!M25+'CEI VISTA ALEGRE'!M25+'CEI ALDEIA DA CRIANCA'!M25+'CEI DÉA LÚCIA CORDEIRO'!M25+'CENTRO DE EDUCAÇÃO INFANTIL CAR'!M25+'CEI IRMÃ SILVANA'!M25+'CEI MARLI SOARES FERREIRA NETTO'!M25+'CEI PROFª SONIA REGINA SCUDESE '!M25+'CEI DONA ESPERANZA DE BOURBON D'!M25+'CEI PREFEITO SÉRGIO FADEL'!M25+'CEI ANDRÉ REBOUÇAS'!M25+'CENTRO DE EDUCAÇÃO INFANTIL CHI'!M25+'CEI TIA ALICE'!M25+'CEI TERRA SANTA'!M25+'CEI JORGE ROLANDO DA SILVA'!M25+'CEI CARANGOLA'!M25+'CEI CÉLIA LÔBO PAULO'!M25+'CEI LIONS CLUBE DE PETRÓPOLIS'!M25+'CEI PROFª GRAÇA COSTA'!M25+'CEI ANGELA MARIA DA CONCEIÇÃO S'!M25+'CEI LUIZ MARCHIORI'!M25+'CEI PROFª MARLUCE DE SOUZA PEST'!M25+'CEI OLÍVIA MACHADO DA COSTA NOG'!M25+'CEI VILA IPANEMA'!M25+'CEI VILA LEOPOLDINA'!M25+'CENTRO DE EDUCAÇÃO INFANTIL CAS'!M25+'CEI PRIMEIRA INFÂNCIA'!M25+'CEI PROFª DORA KILLER'!M25+'CEI PROFª PATRÍCIA FERREIRA E S'!M25+'CEI DRA ZILDA ARNS NEUMANN'!M25+'CEI DENISE BESSA DE OLIVA MAYA'!M25+'CEI GIUSEPPE-NEVA VOLONTERIO'!M25+'CENTRO DE EDUCAÇÃO INFANTIL LOT'!M25+'CEI IRINEU MARINHO'!M25+'CEI OSWALDO CRUZ'!M25+'CEI ANA CAROLINA TELLES'!M25+'CEI JOSÉ GONÇALVES DA MOTTA'!M25+'CEI SAGRADA FAMÍLIA'!M25+'CEI PROFª HERMÍNIA MATHEUS'!M25+'CENTRO DE EDUCAÇÃO INFANTIL PRO'!M25+'CEI MONSENHOR PAULO ELIAS DAHER'!M25+'CEI DAGMAR ROLANDO DE OLIVEIRA'!M25+'CENTRO DE EDUCAÇÃO INFANTIL  2'!M25+'CEI BOA VISTA'!M25+'CEI NILO PEÇANHA'!M25+'CENTRO DE EDUCAÇÃO INFANTIL AUG'!M25+'CEI THEREZINHA DE JESUS LIMA'!M25+'CEI VIDEIRINHA'!M25+'CEI PROFª ADRIANA CONSTÂNCIO TR'!M25+'CENTRO DE EDUCAÇÃO INFANTIL SÉR'!M25+'CEI JURACI PINTO DO AMARAL DE C'!M25+'CEI NOSSA SENHORA DA GLÓRIA'!M25+'CEI ALTO INDEPENDÊNCIA'!M25+'CEI SÃO JOSÉ DAS OBLATAS DE NAZ'!M25+'CEI SANTO ANTÔNIO AGOSTINHO'!M25+'CEI SÃO CHARBEL'!M25+'ASSOCIAÇÃO DA CRECHE SÃO FRANCI'!M25+'CEI SÃO JOSÉ DO ITAMARATI'!M25+'ASSOCIAÇÃO RECREAR'!M25+'CRECHE-ESCOLA CASTELO SÃO MANOE'!M25+'CENTRO DE EDUCAÇÃO INFANTIL SÃO'!M25</f>
        <v/>
      </c>
      <c r="E21" s="207">
        <f>'Entrada de Dados'!S2</f>
        <v/>
      </c>
      <c r="F21" s="207">
        <f>D21*E21</f>
        <v/>
      </c>
    </row>
    <row r="22" ht="15" customHeight="1" s="163">
      <c r="A22" s="195">
        <f>'Entrada de Dados'!T5</f>
        <v/>
      </c>
      <c r="B22" s="206">
        <f>'Entrada de Dados'!T197</f>
        <v/>
      </c>
      <c r="C22" s="206">
        <f>'E M ROTARY'!D26+'E M DE EDUCAÇÃO ESPECIAL SANTOS'!D26+'LICEU MUN PREFEITO CORDOLINO AM'!D26+'E M PREFEITO JAMIL SABRÁ'!D26+'LICEU MUNICIPAL CARLOS CHAGAS F'!D26+'E M PAULO FREIRE'!D26+'E M PROFª MARIA CAMPOS DA SILVA'!D26+'CASA DA EDUCAÇÃO VISCONDE DE MA'!D26+'CENTRO DE REFERÊNCIA EM EDUCAÇÃ'!D26+'ESCOLA SANTA LUIZA DE MARILLAC'!D26+'ESCOLA DOMÉSTICA NOSSA SENHORA '!D26+'ESCOLA MONSENHOR GENTIL'!D26+'ESCOLA PAROQUIAL NOSSA SENHORA '!D26+'ESCOLA PAROQUIAL SÃO PEDRO DE A'!D26+'CEI TERRA SANTA'!D26+'CEI PRIMEIRA INFÂNCIA'!D26+'CEI PROFª PATRÍCIA FERREIRA E S'!D26+'CEI DRA ZILDA ARNS NEUMANN'!D26+'CENTRO DE EDUCAÇÃO INFANTIL PRO'!D26+'CEI MONSENHOR PAULO ELIAS DAHER'!D26+'COLÉGIO GUNNAR VINGREN DE PETRÓ'!D26+'EDUCANDÁRIO TERRA SANTA'!D26+'CEI LIONS CLUBE DE PETRÓPOLIS'!D26+'ESCOLA PAROQUIAL NOSSA SENHO 2'!D26+'CENTRO DE EDUCAÇÃO INFANTIL IRM'!D26+'E M LUIZ CARLOS SOARES'!D26+'ESCOLA GERMANO VALENTE'!D26+'ESCOLA PAROQUIAL NOSSA SENHO 3'!D26+'CEI JORGE ROLANDO DA SILVA'!D26+'E M CLEMENTE FERNANDES'!D26+'E M GERALDO VENTURA DIAS'!D26+'ESCOLA DAS COMUNIDADES SANTO AN'!D26+'CEI PROFª ROSANGELA DA SILVA LE'!D26+'CEI DEISE ELOY GOMES'!D26+'CEI PROFª SONIA REGINA SCUDESE '!D26+'CEI TIA ALICE'!D26+'E M BATAILLARD'!D26+'E M SOROPTIMISTA'!D26+'E M SALVADOR KLING'!D26+'ESCOLA MUNICIPALIZADA FREI ANIC'!D26+'ESCOLA SÃO JUDAS TADEU'!D26+'CEI PEDRAS BRANCAS'!D26+'CEI MARIA THEREZA KLING DO VALL'!D26+'CEI DONA ESPERANZA DE BOURBON D'!D26+'CEI GIUSEPPE-NEVA VOLONTERIO'!D26+'CENTRO DE EDUCAÇÃO INFANTIL SÃO'!D26+'E M LEONARDO BOFF'!D26+'ESCOLA MUNICIPAL GENERAL HEITOR'!D26+'E M JOHANN NOEL'!D26+'ESCOLA SANTA MARIA GORETTI'!D26+'ESCOLA SANTA RITA DE CASSIA'!D26+'ESCOLA SÃO JOÃO BATISTA'!D26+'CEI CASA DA SOLIDARIEDADE DE NO'!D26+'CEI A SEMENTEIRA'!D26+'CEI VILA SAO JOSE'!D26+'E M DR RUBENS DE CASTRO BOMTEMP'!D26+'CEI FREI LEÃO'!D26+'CEI SÃO JOÃO BATISTA'!D26+'CEI JURACI PINTO DO AMARAL DE C'!D26+'E M PEDRO AMADO'!D26+'E M ABELARDO DE LAMARE'!D26+'ESCOLA MUNICIPAL SENADOR MARIO '!D26+'ESCOLA PAROQUIAL SÃO PIO X'!D26+'CEI SÃO CHARBEL'!D26+'E M ROSALINA NICOLAY'!D26+'CEI INÊS BELARMINO DE SOUZA'!D26+'E M PROFª MARIA DA GLÓRIA QUEIR'!D26+'CENTRO EDUCACIONAL COMUNIDADE S'!D26+'CEI ROMANO CANAVESE'!D26+'CEI CÉLIA LÔBO PAULO'!D26+'CEI PROFª DORA KILLER'!D26+'CEI ALTO INDEPENDÊNCIA'!D26+'ESCOLA MUNICIPAL ALTO INDEPENDÊ'!D26+'E M PAPA JOÃO PAULO II'!D26+'CEI ANDRÉ REBOUÇAS'!D26+'CEI PROFª HERMÍNIA MATHEUS'!D26+'ESCOLA MUNICIPAL MAJOR JÚLIO FR'!D26+'E M ALMIRANTE TAMANDARÉ'!D26+'ESCOLA PAROQUIAL CARLOS DEMIÁ'!D26+'CENTRO PAROQUIAL DE EDUCAÇÃO IN'!D26+'CEI IRMÃ SILVANA'!D26+'CEI OLÍVIA MACHADO DA COSTA NOG'!D26+'E M GOVERNADOR MARCELLO ALENCAR'!D26+'E M PROFESSOR FLÁVIO MACIEL'!D26+'E M PROFª JANDIRA PEIXOTO BORDI'!D26+'E M STEFAN ZWEIG'!D26+'ESCOLA PAROQUIAL BOM JESUS'!D26+'CEI MARLI SOARES FERREIRA NETTO'!D26+'CENTRO DE EDUCAÇÃO INFANTIL CHI'!D26+'CEI VILA IPANEMA'!D26+'E M ROBERT KENNEDY'!D26+'ESCOLA MUNICIPAL ANA MOHAMMAD'!D26+'ESCOLA SÃO CRISTÓVÃO'!D26+'CEI DÉA LÚCIA CORDEIRO'!D26+'CEI SAGRADA FAMÍLIA'!D26+'CEI SÃO JOSÉ DAS OBLATAS DE NAZ'!D26+'ESCOLA MUNICIPAL JORGE AMADO'!D26+'E M FÁBRICA DO SABER'!D26+'CIEP BRIZOLÃO 474 MAESTRO GUERR'!D26+'CENTRO DE ENSINO PROF DARCY RIB'!D26+'CEI ANDRÉ VANZAN'!D26+'CENTRO DE EDUCAÇÃO INFANTIL CAR'!D26+'CEI BOA VISTA'!D26+'ASSOCIAÇÃO DA CRECHE SÃO FRANCI'!D26+'ESCOLA MUNICIPAL PAULO SALDANHA'!D26+'ESCOLA MUNICIPAL LÚCIA DE ALMEI'!D26+'E M DOM MANOEL PEDRO DA CUNHA C'!D26+'ESCOLA SÃO GERALDO'!D26+'CEI LULU MONTEIRO DE CASTRO'!D26+'CEI CARANGOLA'!D26+'ASSOCIAÇÃO RECREAR'!D26+'CENTRO DE EDUCAÇÃO INFANTIL CAS'!D26+'E M ROSEMIRA DE OLIVEIRA CAVALC'!D26+'E MZDA CARMEM NUNES MARTINS'!D26+'CEI SÃO JOSÉ DO ITAMARATI'!D26+'E M DUQUE DE CAXIAS'!D26+'CENTRO DE EDUCAÇÃO INFANTIL  2'!D26+'E M ANTÔNIO LEITE GARCIA'!D26+'ESCOLA PAROQUIAL DA ALCOBAÇA'!D26+'CENTRO DE EDUCAÇÃO INFANTIL LOT'!D26+'ESCOLA PAROQUIAL DO LOTEAMENTO '!D26+'E M PROF JOAQUIM DEISTER'!D26+'E M MARIETA GONÇALVES'!D26+'ESCOLA MUNICIPAL ODETTE YOUNG M'!D26+'ESCOLA MUNICIPAL PROFESSOR JOSE'!D26+'E M HERCÍLIA HENRIQUES MORET'!D26+'COLEGIO VICENTINO PADRE CORRÊA'!D26+'CEI PROFª MARLUCE DE SOUZA PEST'!D26+'CEI IRINEU MARINHO'!D26+'CEI DAGMAR ROLANDO DE OLIVEIRA'!D26+'CEI NOSSA SENHORA DA GLÓRIA'!D26+'E M PROF NILTON COSTA PEREIRA D'!D26+'CENTRO DE EDUCAÇÃO INFANTIL SÉR'!D26+'CEI SANTO ANTÔNIO AGOSTINHO'!D26+'CEI OSWALDO CRUZ'!D26+'E M MAGDALENA TAGLIAFERRO'!D26+'ESCOLA SÃO JOSÉ DO CAETITU'!D26+'CRECHE-ESCOLA CASTELO SÃO MANOE'!D26+'CEI THEREZINHA DE JESUS LIMA'!D26+'ESCOLA MUNICIPAL PROFESSOR PAUL'!D26+'COLÉGIO ANGLICANO DE ARARAS'!D26+'ESCOLA PAROQUIAL SANTA BERNADET'!D26+'CEI VISTA ALEGRE'!D26+'CEI DENISE BESSA DE OLIVA MAYA'!D26+'CEI VIDEIRINHA'!D26+'E M AMÉRICO FERNANDES RIBEIRO'!D26+'ESCOLA MUNICIPAL AUGUSTO PUGNAL'!D26+'ESCOLA MUNICIPAL CELINA SCHECHN'!D26+'E M DARCY CORREA DA VEIGA'!D26+'E M DR PAULA BUARQUE'!D26+'LICEU SÃO JOSÉ DE ITAIPAVA'!D26+'CEI LUIZ MARCHIORI'!D26+'CENTRO DE EDUCAÇÃO INFANTIL AUG'!D26+'CEI PROFª ADRIANA CONSTÂNCIO TR'!D26+'E M AMÉLIA ANTUNES RABELLO'!D26+'CEI PREFEITO SÉRGIO FADEL'!D26+'E M DR THEODORO MACHADO'!D26+'ESCOLA SANTO ANTÔNIO'!D26+'E M TAQUARIL'!D26+'E M MONSENHOR JOÃO DE DEUS RODR'!D26+'CENTRO DE REFERÊNCIA EM EDUC 2'!D26+'CEI PROFª GRAÇA COSTA'!D26+'CEI VILA LEOPOLDINA'!D26+'CEI NILO PEÇANHA'!D26+'E MZDA SANTA TEREZINHA'!D26+'CEI CRIANÇA SANTA EDWIGES'!D26+'E M ARNALDO DYCKERHOFF'!D26+'E M CARLOS CANEDO'!D26+'E M BEATRIZ ZALESKI'!D26+'E M ANTÔNIO JOSÉ DE LIMA'!D26+'E M FELIX WAN ERVEN DE BARROS'!D26+'ESCOLA MUNICIPAL HILDEBRANDO DE'!D26+'E M OSWALDO DA COSTA FRIAS'!D26+'E MZDA AVELINO DE CARVALHO'!D26+'ESCOLA MUNICIPALIZADA MOYSÉS FU'!D26+'CEI ANGELA MARIA DA CONCEIÇÃO S'!D26+'CEI JOSÉ GONÇALVES DA MOTTA'!D26+'E M DR BARROS FRANCO'!D26+'E M MAJOR THEÓFILO DE CARVALHO'!D26+'E M JOÃO KOPKE'!D26+'CEI ASSOCIAÇÃO BENEFICENTE FAZE'!D26+'ESCOLA SAO FRANCISCO DE ASSIS'!D26+'CEI SÃO FRANCISCO ASSIS'!D26+'CEI ALDEIA DA CRIANCA'!D26+'ESCOLA MUNICIPAL ODETTE FONSECA'!D26+'CEI ANA CAROLINA TELLES'!D26+'E M SEBASTIÃO LACERDA'!D26+'E M DOM PEDRO DE ALCÂNTARA'!D26+'ESCOLA NOSSA SENHORA DE FÁTIMA'!D26+'ESCOLA PAROQUIAL SÃO FRANCISCO '!D26+'E M MONSENHOR CIRILLO CALAON'!D26</f>
        <v/>
      </c>
      <c r="D22" s="206">
        <f>'E M ABELARDO DE LAMARE'!M26+'E M BATAILLARD'!M26+'E M LEONARDO BOFF'!M26+'E M CLEMENTE FERNANDES'!M26+'E M DOM PEDRO DE ALCÂNTARA'!M26+'E M DUQUE DE CAXIAS'!M26+'E M LUIZ CARLOS SOARES'!M26+'ESCOLA MUNICIPAL GENERAL HEITOR'!M26+'E M JOÃO KOPKE'!M26+'ESCOLA MUNICIPAL ODETTE FONSECA'!M26+'E M GOVERNADOR MARCELLO ALENCAR'!M26+'E M PROF JOAQUIM DEISTER'!M26+'E M ROBERT KENNEDY'!M26+'E M ROTARY'!M26+'E M ROSALINA NICOLAY'!M26+'E M DE EDUCAÇÃO ESPECIAL SANTOS'!M26+'E M SOROPTIMISTA'!M26+'LICEU MUN PREFEITO CORDOLINO AM'!M26+'E M ANTÔNIO LEITE GARCIA'!M26+'ESCOLA MUNICIPAL JORGE AMADO'!M26+'ESCOLA MUNICIPAL LÚCIA DE ALMEI'!M26+'E M MAGDALENA TAGLIAFERRO'!M26+'ESCOLA MUNICIPAL MAJOR JÚLIO FR'!M26+'E M MARIETA GONÇALVES'!M26+'ESCOLA MUNICIPAL ODETTE YOUNG M'!M26+'E M FÁBRICA DO SABER'!M26+'ESCOLA MUNICIPAL PROFESSOR PAUL'!M26+'E M ROSEMIRA DE OLIVEIRA CAVALC'!M26+'E M AMÉLIA ANTUNES RABELLO'!M26+'ESCOLA MUNICIPAL AUGUSTO PUGNAL'!M26+'ESCOLA MUNICIPAL CELINA SCHECHN'!M26+'E M DARCY CORREA DA VEIGA'!M26+'E M DR PAULA BUARQUE'!M26+'E M DR THEODORO MACHADO'!M26+'E M ARNALDO DYCKERHOFF'!M26+'E M CARLOS CANEDO'!M26+'E M DR BARROS FRANCO'!M26+'E M MAJOR THEÓFILO DE CARVALHO'!M26+'E M TAQUARIL'!M26+'E M BEATRIZ ZALESKI'!M26+'E M ANTÔNIO JOSÉ DE LIMA'!M26+'E M FELIX WAN ERVEN DE BARROS'!M26+'ESCOLA MUNICIPAL HILDEBRANDO DE'!M26+'E M OSWALDO DA COSTA FRIAS'!M26+'E MZDA CARMEM NUNES MARTINS'!M26+'E MZDA AVELINO DE CARVALHO'!M26+'E M GERALDO VENTURA DIAS'!M26+'E M SALVADOR KLING'!M26+'E M PREFEITO JAMIL SABRÁ'!M26+'LICEU MUNICIPAL CARLOS CHAGAS F'!M26+'ESCOLA MUNICIPAL ANA MOHAMMAD'!M26+'ESCOLA MUNICIPAL ALTO INDEPENDÊ'!M26+'E M ALMIRANTE TAMANDARÉ'!M26+'ESCOLA MUNICIPALIZADA FREI ANIC'!M26+'E M PEDRO AMADO'!M26+'E M PROFª MARIA DA GLÓRIA QUEIR'!M26+'E M SEBASTIÃO LACERDA'!M26+'E M PROFESSOR FLÁVIO MACIEL'!M26+'ESCOLA MUNICIPAL PAULO SALDANHA'!M26+'ESCOLA MUNICIPAL PROFESSOR JOSE'!M26+'E M MONSENHOR CIRILLO CALAON'!M26+'E M AMÉRICO FERNANDES RIBEIRO'!M26+'E M PROFª JANDIRA PEIXOTO BORDI'!M26+'E M MONSENHOR JOÃO DE DEUS RODR'!M26+'E M DOM MANOEL PEDRO DA CUNHA C'!M26+'E M JOHANN NOEL'!M26+'E MZDA SANTA TEREZINHA'!M26+'E M PAPA JOÃO PAULO II'!M26+'E M STEFAN ZWEIG'!M26+'ESCOLA MUNICIPAL SENADOR MARIO '!M26+'E M DR RUBENS DE CASTRO BOMTEMP'!M26+'E M PAULO FREIRE'!M26+'E M PROFª MARIA CAMPOS DA SILVA'!M26+'E M HERCÍLIA HENRIQUES MORET'!M26+'ESCOLA MUNICIPALIZADA MOYSÉS FU'!M26+'CIEP BRIZOLÃO 474 MAESTRO GUERR'!M26+'CENTRO DE ENSINO PROF DARCY RIB'!M26+'CASA DA EDUCAÇÃO VISCONDE DE MA'!M26+'CENTRO DE REFERÊNCIA EM EDUCAÇÃ'!M26+'E M PROF NILTON COSTA PEREIRA D'!M26+'COLÉGIO GUNNAR VINGREN DE PETRÓ'!M26+'CENTRO DE REFERÊNCIA EM EDUC 2'!M26+'ESCOLA SANTA LUIZA DE MARILLAC'!M26+'CENTRO EDUCACIONAL COMUNIDADE S'!M26+'EDUCANDÁRIO TERRA SANTA'!M26+'ESCOLA GERMANO VALENTE'!M26+'ESCOLA DAS COMUNIDADES SANTO AN'!M26+'ESCOLA DOMÉSTICA NOSSA SENHORA '!M26+'ESCOLA PAROQUIAL NOSSA SENHO 3'!M26+'ESCOLA MONSENHOR GENTIL'!M26+'ESCOLA PAROQUIAL BOM JESUS'!M26+'ESCOLA PAROQUIAL CARLOS DEMIÁ'!M26+'ESCOLA PAROQUIAL NOSSA SENHO 2'!M26+'ESCOLA PAROQUIAL NOSSA SENHORA '!M26+'ESCOLA PAROQUIAL SÃO PEDRO DE A'!M26+'ESCOLA SANTA MARIA GORETTI'!M26+'ESCOLA SANTA RITA DE CASSIA'!M26+'ESCOLA SÃO CRISTÓVÃO'!M26+'ESCOLA PAROQUIAL SÃO FRANCISCO '!M26+'ESCOLA SAO FRANCISCO DE ASSIS'!M26+'ESCOLA SÃO JOÃO BATISTA'!M26+'ESCOLA SÃO JUDAS TADEU'!M26+'ESCOLA PAROQUIAL SÃO PIO X'!M26+'COLÉGIO ANGLICANO DE ARARAS'!M26+'COLEGIO VICENTINO PADRE CORRÊA'!M26+'ESCOLA NOSSA SENHORA DE FÁTIMA'!M26+'ESCOLA PAROQUIAL DA ALCOBAÇA'!M26+'ESCOLA PAROQUIAL DO LOTEAMENTO '!M26+'ESCOLA PAROQUIAL SANTA BERNADET'!M26+'ESCOLA SÃO GERALDO'!M26+'ESCOLA SANTO ANTÔNIO'!M26+'LICEU SÃO JOSÉ DE ITAIPAVA'!M26+'ESCOLA SÃO JOSÉ DO CAETITU'!M26+'CEI ASSOCIAÇÃO BENEFICENTE FAZE'!M26+'CEI CASA DA SOLIDARIEDADE DE NO'!M26+'CEI LULU MONTEIRO DE CASTRO'!M26+'CEI SÃO JOÃO BATISTA'!M26+'CEI SÃO FRANCISCO ASSIS'!M26+'CEI A SEMENTEIRA'!M26+'CEI FREI LEÃO'!M26+'CEI ROMANO CANAVESE'!M26+'CEI ANDRÉ VANZAN'!M26+'CEI CRIANÇA SANTA EDWIGES'!M26+'CENTRO DE EDUCAÇÃO INFANTIL IRM'!M26+'CEI PEDRAS BRANCAS'!M26+'CEI INÊS BELARMINO DE SOUZA'!M26+'CEI PROFª ROSANGELA DA SILVA LE'!M26+'CEI VILA SAO JOSE'!M26+'CEI MARIA THEREZA KLING DO VALL'!M26+'CEI DEISE ELOY GOMES'!M26+'CENTRO PAROQUIAL DE EDUCAÇÃO IN'!M26+'CEI VISTA ALEGRE'!M26+'CEI ALDEIA DA CRIANCA'!M26+'CEI DÉA LÚCIA CORDEIRO'!M26+'CENTRO DE EDUCAÇÃO INFANTIL CAR'!M26+'CEI IRMÃ SILVANA'!M26+'CEI MARLI SOARES FERREIRA NETTO'!M26+'CEI PROFª SONIA REGINA SCUDESE '!M26+'CEI DONA ESPERANZA DE BOURBON D'!M26+'CEI PREFEITO SÉRGIO FADEL'!M26+'CEI ANDRÉ REBOUÇAS'!M26+'CENTRO DE EDUCAÇÃO INFANTIL CHI'!M26+'CEI TIA ALICE'!M26+'CEI TERRA SANTA'!M26+'CEI JORGE ROLANDO DA SILVA'!M26+'CEI CARANGOLA'!M26+'CEI CÉLIA LÔBO PAULO'!M26+'CEI LIONS CLUBE DE PETRÓPOLIS'!M26+'CEI PROFª GRAÇA COSTA'!M26+'CEI ANGELA MARIA DA CONCEIÇÃO S'!M26+'CEI LUIZ MARCHIORI'!M26+'CEI PROFª MARLUCE DE SOUZA PEST'!M26+'CEI OLÍVIA MACHADO DA COSTA NOG'!M26+'CEI VILA IPANEMA'!M26+'CEI VILA LEOPOLDINA'!M26+'CENTRO DE EDUCAÇÃO INFANTIL CAS'!M26+'CEI PRIMEIRA INFÂNCIA'!M26+'CEI PROFª DORA KILLER'!M26+'CEI PROFª PATRÍCIA FERREIRA E S'!M26+'CEI DRA ZILDA ARNS NEUMANN'!M26+'CEI DENISE BESSA DE OLIVA MAYA'!M26+'CEI GIUSEPPE-NEVA VOLONTERIO'!M26+'CENTRO DE EDUCAÇÃO INFANTIL LOT'!M26+'CEI IRINEU MARINHO'!M26+'CEI OSWALDO CRUZ'!M26+'CEI ANA CAROLINA TELLES'!M26+'CEI JOSÉ GONÇALVES DA MOTTA'!M26+'CEI SAGRADA FAMÍLIA'!M26+'CEI PROFª HERMÍNIA MATHEUS'!M26+'CENTRO DE EDUCAÇÃO INFANTIL PRO'!M26+'CEI MONSENHOR PAULO ELIAS DAHER'!M26+'CEI DAGMAR ROLANDO DE OLIVEIRA'!M26+'CENTRO DE EDUCAÇÃO INFANTIL  2'!M26+'CEI BOA VISTA'!M26+'CEI NILO PEÇANHA'!M26+'CENTRO DE EDUCAÇÃO INFANTIL AUG'!M26+'CEI THEREZINHA DE JESUS LIMA'!M26+'CEI VIDEIRINHA'!M26+'CEI PROFª ADRIANA CONSTÂNCIO TR'!M26+'CENTRO DE EDUCAÇÃO INFANTIL SÉR'!M26+'CEI JURACI PINTO DO AMARAL DE C'!M26+'CEI NOSSA SENHORA DA GLÓRIA'!M26+'CEI ALTO INDEPENDÊNCIA'!M26+'CEI SÃO JOSÉ DAS OBLATAS DE NAZ'!M26+'CEI SANTO ANTÔNIO AGOSTINHO'!M26+'CEI SÃO CHARBEL'!M26+'ASSOCIAÇÃO DA CRECHE SÃO FRANCI'!M26+'CEI SÃO JOSÉ DO ITAMARATI'!M26+'ASSOCIAÇÃO RECREAR'!M26+'CRECHE-ESCOLA CASTELO SÃO MANOE'!M26+'CENTRO DE EDUCAÇÃO INFANTIL SÃO'!M26</f>
        <v/>
      </c>
      <c r="E22" s="207">
        <f>'Entrada de Dados'!T2</f>
        <v/>
      </c>
      <c r="F22" s="207">
        <f>D22*E22</f>
        <v/>
      </c>
    </row>
    <row r="23" ht="15" customHeight="1" s="163">
      <c r="A23" s="195">
        <f>'Entrada de Dados'!U5</f>
        <v/>
      </c>
      <c r="B23" s="206">
        <f>'Entrada de Dados'!U197</f>
        <v/>
      </c>
      <c r="C23" s="206">
        <f>'E M ROTARY'!D27+'E M DE EDUCAÇÃO ESPECIAL SANTOS'!D27+'LICEU MUN PREFEITO CORDOLINO AM'!D27+'E M PREFEITO JAMIL SABRÁ'!D27+'LICEU MUNICIPAL CARLOS CHAGAS F'!D27+'E M PAULO FREIRE'!D27+'E M PROFª MARIA CAMPOS DA SILVA'!D27+'CASA DA EDUCAÇÃO VISCONDE DE MA'!D27+'CENTRO DE REFERÊNCIA EM EDUCAÇÃ'!D27+'ESCOLA SANTA LUIZA DE MARILLAC'!D27+'ESCOLA DOMÉSTICA NOSSA SENHORA '!D27+'ESCOLA MONSENHOR GENTIL'!D27+'ESCOLA PAROQUIAL NOSSA SENHORA '!D27+'ESCOLA PAROQUIAL SÃO PEDRO DE A'!D27+'CEI TERRA SANTA'!D27+'CEI PRIMEIRA INFÂNCIA'!D27+'CEI PROFª PATRÍCIA FERREIRA E S'!D27+'CEI DRA ZILDA ARNS NEUMANN'!D27+'CENTRO DE EDUCAÇÃO INFANTIL PRO'!D27+'CEI MONSENHOR PAULO ELIAS DAHER'!D27+'COLÉGIO GUNNAR VINGREN DE PETRÓ'!D27+'EDUCANDÁRIO TERRA SANTA'!D27+'CEI LIONS CLUBE DE PETRÓPOLIS'!D27+'ESCOLA PAROQUIAL NOSSA SENHO 2'!D27+'CENTRO DE EDUCAÇÃO INFANTIL IRM'!D27+'E M LUIZ CARLOS SOARES'!D27+'ESCOLA GERMANO VALENTE'!D27+'ESCOLA PAROQUIAL NOSSA SENHO 3'!D27+'CEI JORGE ROLANDO DA SILVA'!D27+'E M CLEMENTE FERNANDES'!D27+'E M GERALDO VENTURA DIAS'!D27+'ESCOLA DAS COMUNIDADES SANTO AN'!D27+'CEI PROFª ROSANGELA DA SILVA LE'!D27+'CEI DEISE ELOY GOMES'!D27+'CEI PROFª SONIA REGINA SCUDESE '!D27+'CEI TIA ALICE'!D27+'E M BATAILLARD'!D27+'E M SOROPTIMISTA'!D27+'E M SALVADOR KLING'!D27+'ESCOLA MUNICIPALIZADA FREI ANIC'!D27+'ESCOLA SÃO JUDAS TADEU'!D27+'CEI PEDRAS BRANCAS'!D27+'CEI MARIA THEREZA KLING DO VALL'!D27+'CEI DONA ESPERANZA DE BOURBON D'!D27+'CEI GIUSEPPE-NEVA VOLONTERIO'!D27+'CENTRO DE EDUCAÇÃO INFANTIL SÃO'!D27+'E M LEONARDO BOFF'!D27+'ESCOLA MUNICIPAL GENERAL HEITOR'!D27+'E M JOHANN NOEL'!D27+'ESCOLA SANTA MARIA GORETTI'!D27+'ESCOLA SANTA RITA DE CASSIA'!D27+'ESCOLA SÃO JOÃO BATISTA'!D27+'CEI CASA DA SOLIDARIEDADE DE NO'!D27+'CEI A SEMENTEIRA'!D27+'CEI VILA SAO JOSE'!D27+'E M DR RUBENS DE CASTRO BOMTEMP'!D27+'CEI FREI LEÃO'!D27+'CEI SÃO JOÃO BATISTA'!D27+'CEI JURACI PINTO DO AMARAL DE C'!D27+'E M PEDRO AMADO'!D27+'E M ABELARDO DE LAMARE'!D27+'ESCOLA MUNICIPAL SENADOR MARIO '!D27+'ESCOLA PAROQUIAL SÃO PIO X'!D27+'CEI SÃO CHARBEL'!D27+'E M ROSALINA NICOLAY'!D27+'CEI INÊS BELARMINO DE SOUZA'!D27+'E M PROFª MARIA DA GLÓRIA QUEIR'!D27+'CENTRO EDUCACIONAL COMUNIDADE S'!D27+'CEI ROMANO CANAVESE'!D27+'CEI CÉLIA LÔBO PAULO'!D27+'CEI PROFª DORA KILLER'!D27+'CEI ALTO INDEPENDÊNCIA'!D27+'ESCOLA MUNICIPAL ALTO INDEPENDÊ'!D27+'E M PAPA JOÃO PAULO II'!D27+'CEI ANDRÉ REBOUÇAS'!D27+'CEI PROFª HERMÍNIA MATHEUS'!D27+'ESCOLA MUNICIPAL MAJOR JÚLIO FR'!D27+'E M ALMIRANTE TAMANDARÉ'!D27+'ESCOLA PAROQUIAL CARLOS DEMIÁ'!D27+'CENTRO PAROQUIAL DE EDUCAÇÃO IN'!D27+'CEI IRMÃ SILVANA'!D27+'CEI OLÍVIA MACHADO DA COSTA NOG'!D27+'E M GOVERNADOR MARCELLO ALENCAR'!D27+'E M PROFESSOR FLÁVIO MACIEL'!D27+'E M PROFª JANDIRA PEIXOTO BORDI'!D27+'E M STEFAN ZWEIG'!D27+'ESCOLA PAROQUIAL BOM JESUS'!D27+'CEI MARLI SOARES FERREIRA NETTO'!D27+'CENTRO DE EDUCAÇÃO INFANTIL CHI'!D27+'CEI VILA IPANEMA'!D27+'E M ROBERT KENNEDY'!D27+'ESCOLA MUNICIPAL ANA MOHAMMAD'!D27+'ESCOLA SÃO CRISTÓVÃO'!D27+'CEI DÉA LÚCIA CORDEIRO'!D27+'CEI SAGRADA FAMÍLIA'!D27+'CEI SÃO JOSÉ DAS OBLATAS DE NAZ'!D27+'ESCOLA MUNICIPAL JORGE AMADO'!D27+'E M FÁBRICA DO SABER'!D27+'CIEP BRIZOLÃO 474 MAESTRO GUERR'!D27+'CENTRO DE ENSINO PROF DARCY RIB'!D27+'CEI ANDRÉ VANZAN'!D27+'CENTRO DE EDUCAÇÃO INFANTIL CAR'!D27+'CEI BOA VISTA'!D27+'ASSOCIAÇÃO DA CRECHE SÃO FRANCI'!D27+'ESCOLA MUNICIPAL PAULO SALDANHA'!D27+'ESCOLA MUNICIPAL LÚCIA DE ALMEI'!D27+'E M DOM MANOEL PEDRO DA CUNHA C'!D27+'ESCOLA SÃO GERALDO'!D27+'CEI LULU MONTEIRO DE CASTRO'!D27+'CEI CARANGOLA'!D27+'ASSOCIAÇÃO RECREAR'!D27+'CENTRO DE EDUCAÇÃO INFANTIL CAS'!D27+'E M ROSEMIRA DE OLIVEIRA CAVALC'!D27+'E MZDA CARMEM NUNES MARTINS'!D27+'CEI SÃO JOSÉ DO ITAMARATI'!D27+'E M DUQUE DE CAXIAS'!D27+'CENTRO DE EDUCAÇÃO INFANTIL  2'!D27+'E M ANTÔNIO LEITE GARCIA'!D27+'ESCOLA PAROQUIAL DA ALCOBAÇA'!D27+'CENTRO DE EDUCAÇÃO INFANTIL LOT'!D27+'ESCOLA PAROQUIAL DO LOTEAMENTO '!D27+'E M PROF JOAQUIM DEISTER'!D27+'E M MARIETA GONÇALVES'!D27+'ESCOLA MUNICIPAL ODETTE YOUNG M'!D27+'ESCOLA MUNICIPAL PROFESSOR JOSE'!D27+'E M HERCÍLIA HENRIQUES MORET'!D27+'COLEGIO VICENTINO PADRE CORRÊA'!D27+'CEI PROFª MARLUCE DE SOUZA PEST'!D27+'CEI IRINEU MARINHO'!D27+'CEI DAGMAR ROLANDO DE OLIVEIRA'!D27+'CEI NOSSA SENHORA DA GLÓRIA'!D27+'E M PROF NILTON COSTA PEREIRA D'!D27+'CENTRO DE EDUCAÇÃO INFANTIL SÉR'!D27+'CEI SANTO ANTÔNIO AGOSTINHO'!D27+'CEI OSWALDO CRUZ'!D27+'E M MAGDALENA TAGLIAFERRO'!D27+'ESCOLA SÃO JOSÉ DO CAETITU'!D27+'CRECHE-ESCOLA CASTELO SÃO MANOE'!D27+'CEI THEREZINHA DE JESUS LIMA'!D27+'ESCOLA MUNICIPAL PROFESSOR PAUL'!D27+'COLÉGIO ANGLICANO DE ARARAS'!D27+'ESCOLA PAROQUIAL SANTA BERNADET'!D27+'CEI VISTA ALEGRE'!D27+'CEI DENISE BESSA DE OLIVA MAYA'!D27+'CEI VIDEIRINHA'!D27+'E M AMÉRICO FERNANDES RIBEIRO'!D27+'ESCOLA MUNICIPAL AUGUSTO PUGNAL'!D27+'ESCOLA MUNICIPAL CELINA SCHECHN'!D27+'E M DARCY CORREA DA VEIGA'!D27+'E M DR PAULA BUARQUE'!D27+'LICEU SÃO JOSÉ DE ITAIPAVA'!D27+'CEI LUIZ MARCHIORI'!D27+'CENTRO DE EDUCAÇÃO INFANTIL AUG'!D27+'CEI PROFª ADRIANA CONSTÂNCIO TR'!D27+'E M AMÉLIA ANTUNES RABELLO'!D27+'CEI PREFEITO SÉRGIO FADEL'!D27+'E M DR THEODORO MACHADO'!D27+'ESCOLA SANTO ANTÔNIO'!D27+'E M TAQUARIL'!D27+'E M MONSENHOR JOÃO DE DEUS RODR'!D27+'CENTRO DE REFERÊNCIA EM EDUC 2'!D27+'CEI PROFª GRAÇA COSTA'!D27+'CEI VILA LEOPOLDINA'!D27+'CEI NILO PEÇANHA'!D27+'E MZDA SANTA TEREZINHA'!D27+'CEI CRIANÇA SANTA EDWIGES'!D27+'E M ARNALDO DYCKERHOFF'!D27+'E M CARLOS CANEDO'!D27+'E M BEATRIZ ZALESKI'!D27+'E M ANTÔNIO JOSÉ DE LIMA'!D27+'E M FELIX WAN ERVEN DE BARROS'!D27+'ESCOLA MUNICIPAL HILDEBRANDO DE'!D27+'E M OSWALDO DA COSTA FRIAS'!D27+'E MZDA AVELINO DE CARVALHO'!D27+'ESCOLA MUNICIPALIZADA MOYSÉS FU'!D27+'CEI ANGELA MARIA DA CONCEIÇÃO S'!D27+'CEI JOSÉ GONÇALVES DA MOTTA'!D27+'E M DR BARROS FRANCO'!D27+'E M MAJOR THEÓFILO DE CARVALHO'!D27+'E M JOÃO KOPKE'!D27+'CEI ASSOCIAÇÃO BENEFICENTE FAZE'!D27+'ESCOLA SAO FRANCISCO DE ASSIS'!D27+'CEI SÃO FRANCISCO ASSIS'!D27+'CEI ALDEIA DA CRIANCA'!D27+'ESCOLA MUNICIPAL ODETTE FONSECA'!D27+'CEI ANA CAROLINA TELLES'!D27+'E M SEBASTIÃO LACERDA'!D27+'E M DOM PEDRO DE ALCÂNTARA'!D27+'ESCOLA NOSSA SENHORA DE FÁTIMA'!D27+'ESCOLA PAROQUIAL SÃO FRANCISCO '!D27+'E M MONSENHOR CIRILLO CALAON'!D27</f>
        <v/>
      </c>
      <c r="D23" s="206">
        <f>'E M ABELARDO DE LAMARE'!M27+'E M BATAILLARD'!M27+'E M LEONARDO BOFF'!M27+'E M CLEMENTE FERNANDES'!M27+'E M DOM PEDRO DE ALCÂNTARA'!M27+'E M DUQUE DE CAXIAS'!M27+'E M LUIZ CARLOS SOARES'!M27+'ESCOLA MUNICIPAL GENERAL HEITOR'!M27+'E M JOÃO KOPKE'!M27+'ESCOLA MUNICIPAL ODETTE FONSECA'!M27+'E M GOVERNADOR MARCELLO ALENCAR'!M27+'E M PROF JOAQUIM DEISTER'!M27+'E M ROBERT KENNEDY'!M27+'E M ROTARY'!M27+'E M ROSALINA NICOLAY'!M27+'E M DE EDUCAÇÃO ESPECIAL SANTOS'!M27+'E M SOROPTIMISTA'!M27+'LICEU MUN PREFEITO CORDOLINO AM'!M27+'E M ANTÔNIO LEITE GARCIA'!M27+'ESCOLA MUNICIPAL JORGE AMADO'!M27+'ESCOLA MUNICIPAL LÚCIA DE ALMEI'!M27+'E M MAGDALENA TAGLIAFERRO'!M27+'ESCOLA MUNICIPAL MAJOR JÚLIO FR'!M27+'E M MARIETA GONÇALVES'!M27+'ESCOLA MUNICIPAL ODETTE YOUNG M'!M27+'E M FÁBRICA DO SABER'!M27+'ESCOLA MUNICIPAL PROFESSOR PAUL'!M27+'E M ROSEMIRA DE OLIVEIRA CAVALC'!M27+'E M AMÉLIA ANTUNES RABELLO'!M27+'ESCOLA MUNICIPAL AUGUSTO PUGNAL'!M27+'ESCOLA MUNICIPAL CELINA SCHECHN'!M27+'E M DARCY CORREA DA VEIGA'!M27+'E M DR PAULA BUARQUE'!M27+'E M DR THEODORO MACHADO'!M27+'E M ARNALDO DYCKERHOFF'!M27+'E M CARLOS CANEDO'!M27+'E M DR BARROS FRANCO'!M27+'E M MAJOR THEÓFILO DE CARVALHO'!M27+'E M TAQUARIL'!M27+'E M BEATRIZ ZALESKI'!M27+'E M ANTÔNIO JOSÉ DE LIMA'!M27+'E M FELIX WAN ERVEN DE BARROS'!M27+'ESCOLA MUNICIPAL HILDEBRANDO DE'!M27+'E M OSWALDO DA COSTA FRIAS'!M27+'E MZDA CARMEM NUNES MARTINS'!M27+'E MZDA AVELINO DE CARVALHO'!M27+'E M GERALDO VENTURA DIAS'!M27+'E M SALVADOR KLING'!M27+'E M PREFEITO JAMIL SABRÁ'!M27+'LICEU MUNICIPAL CARLOS CHAGAS F'!M27+'ESCOLA MUNICIPAL ANA MOHAMMAD'!M27+'ESCOLA MUNICIPAL ALTO INDEPENDÊ'!M27+'E M ALMIRANTE TAMANDARÉ'!M27+'ESCOLA MUNICIPALIZADA FREI ANIC'!M27+'E M PEDRO AMADO'!M27+'E M PROFª MARIA DA GLÓRIA QUEIR'!M27+'E M SEBASTIÃO LACERDA'!M27+'E M PROFESSOR FLÁVIO MACIEL'!M27+'ESCOLA MUNICIPAL PAULO SALDANHA'!M27+'ESCOLA MUNICIPAL PROFESSOR JOSE'!M27+'E M MONSENHOR CIRILLO CALAON'!M27+'E M AMÉRICO FERNANDES RIBEIRO'!M27+'E M PROFª JANDIRA PEIXOTO BORDI'!M27+'E M MONSENHOR JOÃO DE DEUS RODR'!M27+'E M DOM MANOEL PEDRO DA CUNHA C'!M27+'E M JOHANN NOEL'!M27+'E MZDA SANTA TEREZINHA'!M27+'E M PAPA JOÃO PAULO II'!M27+'E M STEFAN ZWEIG'!M27+'ESCOLA MUNICIPAL SENADOR MARIO '!M27+'E M DR RUBENS DE CASTRO BOMTEMP'!M27+'E M PAULO FREIRE'!M27+'E M PROFª MARIA CAMPOS DA SILVA'!M27+'E M HERCÍLIA HENRIQUES MORET'!M27+'ESCOLA MUNICIPALIZADA MOYSÉS FU'!M27+'CIEP BRIZOLÃO 474 MAESTRO GUERR'!M27+'CENTRO DE ENSINO PROF DARCY RIB'!M27+'CASA DA EDUCAÇÃO VISCONDE DE MA'!M27+'CENTRO DE REFERÊNCIA EM EDUCAÇÃ'!M27+'E M PROF NILTON COSTA PEREIRA D'!M27+'COLÉGIO GUNNAR VINGREN DE PETRÓ'!M27+'CENTRO DE REFERÊNCIA EM EDUC 2'!M27+'ESCOLA SANTA LUIZA DE MARILLAC'!M27+'CENTRO EDUCACIONAL COMUNIDADE S'!M27+'EDUCANDÁRIO TERRA SANTA'!M27+'ESCOLA GERMANO VALENTE'!M27+'ESCOLA DAS COMUNIDADES SANTO AN'!M27+'ESCOLA DOMÉSTICA NOSSA SENHORA '!M27+'ESCOLA PAROQUIAL NOSSA SENHO 3'!M27+'ESCOLA MONSENHOR GENTIL'!M27+'ESCOLA PAROQUIAL BOM JESUS'!M27+'ESCOLA PAROQUIAL CARLOS DEMIÁ'!M27+'ESCOLA PAROQUIAL NOSSA SENHO 2'!M27+'ESCOLA PAROQUIAL NOSSA SENHORA '!M27+'ESCOLA PAROQUIAL SÃO PEDRO DE A'!M27+'ESCOLA SANTA MARIA GORETTI'!M27+'ESCOLA SANTA RITA DE CASSIA'!M27+'ESCOLA SÃO CRISTÓVÃO'!M27+'ESCOLA PAROQUIAL SÃO FRANCISCO '!M27+'ESCOLA SAO FRANCISCO DE ASSIS'!M27+'ESCOLA SÃO JOÃO BATISTA'!M27+'ESCOLA SÃO JUDAS TADEU'!M27+'ESCOLA PAROQUIAL SÃO PIO X'!M27+'COLÉGIO ANGLICANO DE ARARAS'!M27+'COLEGIO VICENTINO PADRE CORRÊA'!M27+'ESCOLA NOSSA SENHORA DE FÁTIMA'!M27+'ESCOLA PAROQUIAL DA ALCOBAÇA'!M27+'ESCOLA PAROQUIAL DO LOTEAMENTO '!M27+'ESCOLA PAROQUIAL SANTA BERNADET'!M27+'ESCOLA SÃO GERALDO'!M27+'ESCOLA SANTO ANTÔNIO'!M27+'LICEU SÃO JOSÉ DE ITAIPAVA'!M27+'ESCOLA SÃO JOSÉ DO CAETITU'!M27+'CEI ASSOCIAÇÃO BENEFICENTE FAZE'!M27+'CEI CASA DA SOLIDARIEDADE DE NO'!M27+'CEI LULU MONTEIRO DE CASTRO'!M27+'CEI SÃO JOÃO BATISTA'!M27+'CEI SÃO FRANCISCO ASSIS'!M27+'CEI A SEMENTEIRA'!M27+'CEI FREI LEÃO'!M27+'CEI ROMANO CANAVESE'!M27+'CEI ANDRÉ VANZAN'!M27+'CEI CRIANÇA SANTA EDWIGES'!M27+'CENTRO DE EDUCAÇÃO INFANTIL IRM'!M27+'CEI PEDRAS BRANCAS'!M27+'CEI INÊS BELARMINO DE SOUZA'!M27+'CEI PROFª ROSANGELA DA SILVA LE'!M27+'CEI VILA SAO JOSE'!M27+'CEI MARIA THEREZA KLING DO VALL'!M27+'CEI DEISE ELOY GOMES'!M27+'CENTRO PAROQUIAL DE EDUCAÇÃO IN'!M27+'CEI VISTA ALEGRE'!M27+'CEI ALDEIA DA CRIANCA'!M27+'CEI DÉA LÚCIA CORDEIRO'!M27+'CENTRO DE EDUCAÇÃO INFANTIL CAR'!M27+'CEI IRMÃ SILVANA'!M27+'CEI MARLI SOARES FERREIRA NETTO'!M27+'CEI PROFª SONIA REGINA SCUDESE '!M27+'CEI DONA ESPERANZA DE BOURBON D'!M27+'CEI PREFEITO SÉRGIO FADEL'!M27+'CEI ANDRÉ REBOUÇAS'!M27+'CENTRO DE EDUCAÇÃO INFANTIL CHI'!M27+'CEI TIA ALICE'!M27+'CEI TERRA SANTA'!M27+'CEI JORGE ROLANDO DA SILVA'!M27+'CEI CARANGOLA'!M27+'CEI CÉLIA LÔBO PAULO'!M27+'CEI LIONS CLUBE DE PETRÓPOLIS'!M27+'CEI PROFª GRAÇA COSTA'!M27+'CEI ANGELA MARIA DA CONCEIÇÃO S'!M27+'CEI LUIZ MARCHIORI'!M27+'CEI PROFª MARLUCE DE SOUZA PEST'!M27+'CEI OLÍVIA MACHADO DA COSTA NOG'!M27+'CEI VILA IPANEMA'!M27+'CEI VILA LEOPOLDINA'!M27+'CENTRO DE EDUCAÇÃO INFANTIL CAS'!M27+'CEI PRIMEIRA INFÂNCIA'!M27+'CEI PROFª DORA KILLER'!M27+'CEI PROFª PATRÍCIA FERREIRA E S'!M27+'CEI DRA ZILDA ARNS NEUMANN'!M27+'CEI DENISE BESSA DE OLIVA MAYA'!M27+'CEI GIUSEPPE-NEVA VOLONTERIO'!M27+'CENTRO DE EDUCAÇÃO INFANTIL LOT'!M27+'CEI IRINEU MARINHO'!M27+'CEI OSWALDO CRUZ'!M27+'CEI ANA CAROLINA TELLES'!M27+'CEI JOSÉ GONÇALVES DA MOTTA'!M27+'CEI SAGRADA FAMÍLIA'!M27+'CEI PROFª HERMÍNIA MATHEUS'!M27+'CENTRO DE EDUCAÇÃO INFANTIL PRO'!M27+'CEI MONSENHOR PAULO ELIAS DAHER'!M27+'CEI DAGMAR ROLANDO DE OLIVEIRA'!M27+'CENTRO DE EDUCAÇÃO INFANTIL  2'!M27+'CEI BOA VISTA'!M27+'CEI NILO PEÇANHA'!M27+'CENTRO DE EDUCAÇÃO INFANTIL AUG'!M27+'CEI THEREZINHA DE JESUS LIMA'!M27+'CEI VIDEIRINHA'!M27+'CEI PROFª ADRIANA CONSTÂNCIO TR'!M27+'CENTRO DE EDUCAÇÃO INFANTIL SÉR'!M27+'CEI JURACI PINTO DO AMARAL DE C'!M27+'CEI NOSSA SENHORA DA GLÓRIA'!M27+'CEI ALTO INDEPENDÊNCIA'!M27+'CEI SÃO JOSÉ DAS OBLATAS DE NAZ'!M27+'CEI SANTO ANTÔNIO AGOSTINHO'!M27+'CEI SÃO CHARBEL'!M27+'ASSOCIAÇÃO DA CRECHE SÃO FRANCI'!M27+'CEI SÃO JOSÉ DO ITAMARATI'!M27+'ASSOCIAÇÃO RECREAR'!M27+'CRECHE-ESCOLA CASTELO SÃO MANOE'!M27+'CENTRO DE EDUCAÇÃO INFANTIL SÃO'!M27</f>
        <v/>
      </c>
      <c r="E23" s="207">
        <f>'Entrada de Dados'!U2</f>
        <v/>
      </c>
      <c r="F23" s="207">
        <f>D23*E23</f>
        <v/>
      </c>
    </row>
    <row r="24" ht="15" customHeight="1" s="163">
      <c r="A24" s="192" t="inlineStr">
        <is>
          <t>TOTAL</t>
        </is>
      </c>
      <c r="B24" s="208">
        <f>SUM(B5:B23)</f>
        <v/>
      </c>
      <c r="C24" s="208">
        <f>SUM(C5:C23)</f>
        <v/>
      </c>
      <c r="D24" s="208">
        <f>SUM(D5:D23)</f>
        <v/>
      </c>
      <c r="E24" s="209" t="n"/>
      <c r="F24" s="210">
        <f>SUM(F5:F23)</f>
        <v/>
      </c>
    </row>
    <row r="26" ht="24" customHeight="1" s="163">
      <c r="A26" s="205" t="inlineStr">
        <is>
          <t>🚚  PRODUTORES / GALPÃO  —  ENTREGA  ×  DEVOLUÇÃO  ×  VALOR A PAGAR  (frete R$ 3,67/kg já descontado)</t>
        </is>
      </c>
    </row>
    <row r="27" ht="18" customHeight="1" s="163">
      <c r="A27" s="187" t="inlineStr">
        <is>
          <t>PRODUTO</t>
        </is>
      </c>
      <c r="B27" s="187" t="inlineStr">
        <is>
          <t>ENTREGA BRUTA (kg)</t>
        </is>
      </c>
      <c r="C27" s="187" t="inlineStr">
        <is>
          <t>DEVOLUÇÃO (kg)</t>
        </is>
      </c>
      <c r="D27" s="187" t="inlineStr">
        <is>
          <t>LÍQUIDO (kg)</t>
        </is>
      </c>
      <c r="E27" s="187" t="inlineStr">
        <is>
          <t>PREÇO LÍQUIDO (R$/kg)</t>
        </is>
      </c>
      <c r="F27" s="187" t="inlineStr">
        <is>
          <t>VALOR A PAGAR (R$)</t>
        </is>
      </c>
    </row>
    <row r="28" ht="15" customHeight="1" s="163">
      <c r="A28" s="195">
        <f>'Entrada de Dados'!C5</f>
        <v/>
      </c>
      <c r="B28" s="206">
        <f>'Entrada de Dados'!C250</f>
        <v/>
      </c>
      <c r="C28" s="206">
        <f>B28-D28</f>
        <v/>
      </c>
      <c r="D28" s="206">
        <f>'Entrada de Dados'!C252</f>
        <v/>
      </c>
      <c r="E28" s="207">
        <f>'Entrada de Dados'!C2-3.67</f>
        <v/>
      </c>
      <c r="F28" s="207">
        <f>D28*E28</f>
        <v/>
      </c>
    </row>
    <row r="29" ht="15" customHeight="1" s="163">
      <c r="A29" s="195">
        <f>'Entrada de Dados'!D5</f>
        <v/>
      </c>
      <c r="B29" s="206">
        <f>'Entrada de Dados'!D250</f>
        <v/>
      </c>
      <c r="C29" s="206">
        <f>B29-D29</f>
        <v/>
      </c>
      <c r="D29" s="206">
        <f>'Entrada de Dados'!D252</f>
        <v/>
      </c>
      <c r="E29" s="207">
        <f>'Entrada de Dados'!D2-3.67</f>
        <v/>
      </c>
      <c r="F29" s="207">
        <f>D29*E29</f>
        <v/>
      </c>
    </row>
    <row r="30" ht="15" customHeight="1" s="163">
      <c r="A30" s="195">
        <f>'Entrada de Dados'!E5</f>
        <v/>
      </c>
      <c r="B30" s="206">
        <f>'Entrada de Dados'!E250</f>
        <v/>
      </c>
      <c r="C30" s="206">
        <f>B30-D30</f>
        <v/>
      </c>
      <c r="D30" s="206">
        <f>'Entrada de Dados'!E252</f>
        <v/>
      </c>
      <c r="E30" s="207">
        <f>'Entrada de Dados'!E2-3.67</f>
        <v/>
      </c>
      <c r="F30" s="207">
        <f>D30*E30</f>
        <v/>
      </c>
    </row>
    <row r="31" ht="15" customHeight="1" s="163">
      <c r="A31" s="195">
        <f>'Entrada de Dados'!F5</f>
        <v/>
      </c>
      <c r="B31" s="206">
        <f>'Entrada de Dados'!F250</f>
        <v/>
      </c>
      <c r="C31" s="206">
        <f>B31-D31</f>
        <v/>
      </c>
      <c r="D31" s="206">
        <f>'Entrada de Dados'!F252</f>
        <v/>
      </c>
      <c r="E31" s="207">
        <f>'Entrada de Dados'!F2-3.67</f>
        <v/>
      </c>
      <c r="F31" s="207">
        <f>D31*E31</f>
        <v/>
      </c>
    </row>
    <row r="32" ht="15" customHeight="1" s="163">
      <c r="A32" s="195">
        <f>'Entrada de Dados'!G5</f>
        <v/>
      </c>
      <c r="B32" s="206">
        <f>'Entrada de Dados'!G250</f>
        <v/>
      </c>
      <c r="C32" s="206">
        <f>B32-D32</f>
        <v/>
      </c>
      <c r="D32" s="206">
        <f>'Entrada de Dados'!G252</f>
        <v/>
      </c>
      <c r="E32" s="207">
        <f>'Entrada de Dados'!G2-3.67</f>
        <v/>
      </c>
      <c r="F32" s="207">
        <f>D32*E32</f>
        <v/>
      </c>
    </row>
    <row r="33" ht="15" customHeight="1" s="163">
      <c r="A33" s="195">
        <f>'Entrada de Dados'!H5</f>
        <v/>
      </c>
      <c r="B33" s="206">
        <f>'Entrada de Dados'!H250</f>
        <v/>
      </c>
      <c r="C33" s="206">
        <f>B33-D33</f>
        <v/>
      </c>
      <c r="D33" s="206">
        <f>'Entrada de Dados'!H252</f>
        <v/>
      </c>
      <c r="E33" s="207">
        <f>'Entrada de Dados'!H2-3.67</f>
        <v/>
      </c>
      <c r="F33" s="207">
        <f>D33*E33</f>
        <v/>
      </c>
    </row>
    <row r="34" ht="15" customHeight="1" s="163">
      <c r="A34" s="195">
        <f>'Entrada de Dados'!I5</f>
        <v/>
      </c>
      <c r="B34" s="206">
        <f>'Entrada de Dados'!I250</f>
        <v/>
      </c>
      <c r="C34" s="206">
        <f>B34-D34</f>
        <v/>
      </c>
      <c r="D34" s="206">
        <f>'Entrada de Dados'!I252</f>
        <v/>
      </c>
      <c r="E34" s="207">
        <f>'Entrada de Dados'!I2-3.67</f>
        <v/>
      </c>
      <c r="F34" s="207">
        <f>D34*E34</f>
        <v/>
      </c>
    </row>
    <row r="35" ht="15" customHeight="1" s="163">
      <c r="A35" s="195">
        <f>'Entrada de Dados'!J5</f>
        <v/>
      </c>
      <c r="B35" s="206">
        <f>'Entrada de Dados'!J250</f>
        <v/>
      </c>
      <c r="C35" s="206">
        <f>B35-D35</f>
        <v/>
      </c>
      <c r="D35" s="206">
        <f>'Entrada de Dados'!J252</f>
        <v/>
      </c>
      <c r="E35" s="207">
        <f>'Entrada de Dados'!J2-3.67</f>
        <v/>
      </c>
      <c r="F35" s="207">
        <f>D35*E35</f>
        <v/>
      </c>
    </row>
    <row r="36" ht="15" customHeight="1" s="163">
      <c r="A36" s="195">
        <f>'Entrada de Dados'!K5</f>
        <v/>
      </c>
      <c r="B36" s="206">
        <f>'Entrada de Dados'!K250</f>
        <v/>
      </c>
      <c r="C36" s="206">
        <f>B36-D36</f>
        <v/>
      </c>
      <c r="D36" s="206">
        <f>'Entrada de Dados'!K252</f>
        <v/>
      </c>
      <c r="E36" s="207">
        <f>'Entrada de Dados'!K2-3.67</f>
        <v/>
      </c>
      <c r="F36" s="207">
        <f>D36*E36</f>
        <v/>
      </c>
    </row>
    <row r="37" ht="15" customHeight="1" s="163">
      <c r="A37" s="195">
        <f>'Entrada de Dados'!L5</f>
        <v/>
      </c>
      <c r="B37" s="206">
        <f>'Entrada de Dados'!L250</f>
        <v/>
      </c>
      <c r="C37" s="206">
        <f>B37-D37</f>
        <v/>
      </c>
      <c r="D37" s="206">
        <f>'Entrada de Dados'!L252</f>
        <v/>
      </c>
      <c r="E37" s="207">
        <f>'Entrada de Dados'!L2-3.67</f>
        <v/>
      </c>
      <c r="F37" s="207">
        <f>D37*E37</f>
        <v/>
      </c>
    </row>
    <row r="38" ht="15" customHeight="1" s="163">
      <c r="A38" s="195">
        <f>'Entrada de Dados'!M5</f>
        <v/>
      </c>
      <c r="B38" s="206">
        <f>'Entrada de Dados'!M250</f>
        <v/>
      </c>
      <c r="C38" s="206">
        <f>B38-D38</f>
        <v/>
      </c>
      <c r="D38" s="206">
        <f>'Entrada de Dados'!M252</f>
        <v/>
      </c>
      <c r="E38" s="207">
        <f>'Entrada de Dados'!M2-3.67</f>
        <v/>
      </c>
      <c r="F38" s="207">
        <f>D38*E38</f>
        <v/>
      </c>
    </row>
    <row r="39" ht="15" customHeight="1" s="163">
      <c r="A39" s="195">
        <f>'Entrada de Dados'!N5</f>
        <v/>
      </c>
      <c r="B39" s="206">
        <f>'Entrada de Dados'!N250</f>
        <v/>
      </c>
      <c r="C39" s="206">
        <f>B39-D39</f>
        <v/>
      </c>
      <c r="D39" s="206">
        <f>'Entrada de Dados'!N252</f>
        <v/>
      </c>
      <c r="E39" s="207">
        <f>'Entrada de Dados'!N2-3.67</f>
        <v/>
      </c>
      <c r="F39" s="207">
        <f>D39*E39</f>
        <v/>
      </c>
    </row>
    <row r="40" ht="15" customHeight="1" s="163">
      <c r="A40" s="195">
        <f>'Entrada de Dados'!O5</f>
        <v/>
      </c>
      <c r="B40" s="206">
        <f>'Entrada de Dados'!O250</f>
        <v/>
      </c>
      <c r="C40" s="206">
        <f>B40-D40</f>
        <v/>
      </c>
      <c r="D40" s="206">
        <f>'Entrada de Dados'!O252</f>
        <v/>
      </c>
      <c r="E40" s="207">
        <f>'Entrada de Dados'!O2-3.67</f>
        <v/>
      </c>
      <c r="F40" s="207">
        <f>D40*E40</f>
        <v/>
      </c>
    </row>
    <row r="41" ht="15" customHeight="1" s="163">
      <c r="A41" s="195">
        <f>'Entrada de Dados'!P5</f>
        <v/>
      </c>
      <c r="B41" s="206">
        <f>'Entrada de Dados'!P250</f>
        <v/>
      </c>
      <c r="C41" s="206">
        <f>B41-D41</f>
        <v/>
      </c>
      <c r="D41" s="206">
        <f>'Entrada de Dados'!P252</f>
        <v/>
      </c>
      <c r="E41" s="207">
        <f>'Entrada de Dados'!P2-3.67</f>
        <v/>
      </c>
      <c r="F41" s="207">
        <f>D41*E41</f>
        <v/>
      </c>
    </row>
    <row r="42" ht="15" customHeight="1" s="163">
      <c r="A42" s="195">
        <f>'Entrada de Dados'!Q5</f>
        <v/>
      </c>
      <c r="B42" s="206">
        <f>'Entrada de Dados'!Q250</f>
        <v/>
      </c>
      <c r="C42" s="206">
        <f>B42-D42</f>
        <v/>
      </c>
      <c r="D42" s="206">
        <f>'Entrada de Dados'!Q252</f>
        <v/>
      </c>
      <c r="E42" s="207">
        <f>'Entrada de Dados'!Q2-3.67</f>
        <v/>
      </c>
      <c r="F42" s="207">
        <f>D42*E42</f>
        <v/>
      </c>
    </row>
    <row r="43" ht="15" customHeight="1" s="163">
      <c r="A43" s="195">
        <f>'Entrada de Dados'!R5</f>
        <v/>
      </c>
      <c r="B43" s="206">
        <f>'Entrada de Dados'!R250</f>
        <v/>
      </c>
      <c r="C43" s="206">
        <f>B43-D43</f>
        <v/>
      </c>
      <c r="D43" s="206">
        <f>'Entrada de Dados'!R252</f>
        <v/>
      </c>
      <c r="E43" s="207">
        <f>'Entrada de Dados'!R2-3.67</f>
        <v/>
      </c>
      <c r="F43" s="207">
        <f>D43*E43</f>
        <v/>
      </c>
    </row>
    <row r="44" hidden="1" ht="15" customHeight="1" s="163">
      <c r="A44" s="195">
        <f>'Entrada de Dados'!S5</f>
        <v/>
      </c>
      <c r="B44" s="206">
        <f>'Entrada de Dados'!S250</f>
        <v/>
      </c>
      <c r="C44" s="206">
        <f>B44-D44</f>
        <v/>
      </c>
      <c r="D44" s="206">
        <f>'Entrada de Dados'!S252</f>
        <v/>
      </c>
      <c r="E44" s="207">
        <f>'Entrada de Dados'!S2-3.67</f>
        <v/>
      </c>
      <c r="F44" s="207">
        <f>D44*E44</f>
        <v/>
      </c>
    </row>
    <row r="45" ht="15" customHeight="1" s="163">
      <c r="A45" s="195">
        <f>'Entrada de Dados'!T5</f>
        <v/>
      </c>
      <c r="B45" s="206">
        <f>'Entrada de Dados'!T250</f>
        <v/>
      </c>
      <c r="C45" s="206">
        <f>B45-D45</f>
        <v/>
      </c>
      <c r="D45" s="206">
        <f>'Entrada de Dados'!T252</f>
        <v/>
      </c>
      <c r="E45" s="207">
        <f>'Entrada de Dados'!T2-3.67</f>
        <v/>
      </c>
      <c r="F45" s="207">
        <f>D45*E45</f>
        <v/>
      </c>
    </row>
    <row r="46" ht="15" customHeight="1" s="163">
      <c r="A46" s="195">
        <f>'Entrada de Dados'!U5</f>
        <v/>
      </c>
      <c r="B46" s="206">
        <f>'Entrada de Dados'!U250</f>
        <v/>
      </c>
      <c r="C46" s="206">
        <f>B46-D46</f>
        <v/>
      </c>
      <c r="D46" s="206">
        <f>'Entrada de Dados'!U252</f>
        <v/>
      </c>
      <c r="E46" s="207">
        <f>'Entrada de Dados'!U2-3.67</f>
        <v/>
      </c>
      <c r="F46" s="207">
        <f>D46*E46</f>
        <v/>
      </c>
    </row>
    <row r="47" ht="15" customHeight="1" s="163">
      <c r="A47" s="192" t="inlineStr">
        <is>
          <t>TOTAL</t>
        </is>
      </c>
      <c r="B47" s="208">
        <f>SUM(B28:B46)</f>
        <v/>
      </c>
      <c r="C47" s="208">
        <f>SUM(C28:C46)</f>
        <v/>
      </c>
      <c r="D47" s="208">
        <f>SUM(D28:D46)</f>
        <v/>
      </c>
      <c r="E47" s="209" t="n"/>
      <c r="F47" s="210">
        <f>SUM(F28:F46)</f>
        <v/>
      </c>
    </row>
    <row r="49" ht="24" customHeight="1" s="163">
      <c r="A49" s="205" t="inlineStr">
        <is>
          <t>📋  DEVOLUÇÃO POR MOTIVO  —  ESCOLAS</t>
        </is>
      </c>
    </row>
    <row r="50" ht="18" customHeight="1" s="163">
      <c r="A50" s="187" t="inlineStr">
        <is>
          <t>CÓDIGO</t>
        </is>
      </c>
      <c r="B50" s="187" t="inlineStr">
        <is>
          <t>MOTIVO</t>
        </is>
      </c>
      <c r="C50" s="187" t="inlineStr">
        <is>
          <t>TOTAL (kg)</t>
        </is>
      </c>
      <c r="D50" s="187" t="n"/>
      <c r="E50" s="187" t="n"/>
      <c r="F50" s="187" t="n"/>
    </row>
    <row r="51" ht="15" customHeight="1" s="163">
      <c r="A51" s="211">
        <f>MOTIVO!A4</f>
        <v/>
      </c>
      <c r="B51" s="195">
        <f>IF(MOTIVO!B4="","",MOTIVO!B4)</f>
        <v/>
      </c>
      <c r="C51" s="206">
        <f>SUMIF(_AUX_MOTIVO_ESCOLAS!$A$2:$A$3630,A51,_AUX_MOTIVO_ESCOLAS!$B$2:$B$3630)</f>
        <v/>
      </c>
    </row>
    <row r="52" ht="15" customHeight="1" s="163">
      <c r="A52" s="211">
        <f>MOTIVO!A5</f>
        <v/>
      </c>
      <c r="B52" s="195">
        <f>IF(MOTIVO!B5="","",MOTIVO!B5)</f>
        <v/>
      </c>
      <c r="C52" s="206">
        <f>SUMIF(_AUX_MOTIVO_ESCOLAS!$A$2:$A$3630,A52,_AUX_MOTIVO_ESCOLAS!$B$2:$B$3630)</f>
        <v/>
      </c>
    </row>
    <row r="53" ht="15" customHeight="1" s="163">
      <c r="A53" s="211">
        <f>MOTIVO!A6</f>
        <v/>
      </c>
      <c r="B53" s="195">
        <f>IF(MOTIVO!B6="","",MOTIVO!B6)</f>
        <v/>
      </c>
      <c r="C53" s="206">
        <f>SUMIF(_AUX_MOTIVO_ESCOLAS!$A$2:$A$3630,A53,_AUX_MOTIVO_ESCOLAS!$B$2:$B$3630)</f>
        <v/>
      </c>
    </row>
    <row r="54" ht="15" customHeight="1" s="163">
      <c r="A54" s="211">
        <f>MOTIVO!A7</f>
        <v/>
      </c>
      <c r="B54" s="195">
        <f>IF(MOTIVO!B7="","",MOTIVO!B7)</f>
        <v/>
      </c>
      <c r="C54" s="206">
        <f>SUMIF(_AUX_MOTIVO_ESCOLAS!$A$2:$A$3630,A54,_AUX_MOTIVO_ESCOLAS!$B$2:$B$3630)</f>
        <v/>
      </c>
    </row>
    <row r="55" ht="15" customHeight="1" s="163">
      <c r="A55" s="211">
        <f>MOTIVO!A8</f>
        <v/>
      </c>
      <c r="B55" s="195">
        <f>IF(MOTIVO!B8="","",MOTIVO!B8)</f>
        <v/>
      </c>
      <c r="C55" s="206">
        <f>SUMIF(_AUX_MOTIVO_ESCOLAS!$A$2:$A$3630,A55,_AUX_MOTIVO_ESCOLAS!$B$2:$B$3630)</f>
        <v/>
      </c>
    </row>
    <row r="56" ht="15" customHeight="1" s="163">
      <c r="A56" s="211">
        <f>MOTIVO!A9</f>
        <v/>
      </c>
      <c r="B56" s="195">
        <f>IF(MOTIVO!B9="","",MOTIVO!B9)</f>
        <v/>
      </c>
      <c r="C56" s="206">
        <f>SUMIF(_AUX_MOTIVO_ESCOLAS!$A$2:$A$3630,A56,_AUX_MOTIVO_ESCOLAS!$B$2:$B$3630)</f>
        <v/>
      </c>
    </row>
    <row r="57" ht="15" customHeight="1" s="163">
      <c r="A57" s="211">
        <f>MOTIVO!A10</f>
        <v/>
      </c>
      <c r="B57" s="195">
        <f>IF(MOTIVO!B10="","",MOTIVO!B10)</f>
        <v/>
      </c>
      <c r="C57" s="206">
        <f>SUMIF(_AUX_MOTIVO_ESCOLAS!$A$2:$A$3630,A57,_AUX_MOTIVO_ESCOLAS!$B$2:$B$3630)</f>
        <v/>
      </c>
    </row>
    <row r="58" ht="15" customHeight="1" s="163">
      <c r="A58" s="211">
        <f>MOTIVO!A11</f>
        <v/>
      </c>
      <c r="B58" s="195">
        <f>IF(MOTIVO!B11="","",MOTIVO!B11)</f>
        <v/>
      </c>
      <c r="C58" s="206">
        <f>SUMIF(_AUX_MOTIVO_ESCOLAS!$A$2:$A$3630,A58,_AUX_MOTIVO_ESCOLAS!$B$2:$B$3630)</f>
        <v/>
      </c>
    </row>
    <row r="59" ht="15" customHeight="1" s="163">
      <c r="A59" s="211">
        <f>MOTIVO!A12</f>
        <v/>
      </c>
      <c r="B59" s="195">
        <f>IF(MOTIVO!B12="","",MOTIVO!B12)</f>
        <v/>
      </c>
      <c r="C59" s="206">
        <f>SUMIF(_AUX_MOTIVO_ESCOLAS!$A$2:$A$3630,A59,_AUX_MOTIVO_ESCOLAS!$B$2:$B$3630)</f>
        <v/>
      </c>
    </row>
    <row r="60" ht="15" customHeight="1" s="163">
      <c r="A60" s="211">
        <f>MOTIVO!A13</f>
        <v/>
      </c>
      <c r="B60" s="195">
        <f>IF(MOTIVO!B13="","",MOTIVO!B13)</f>
        <v/>
      </c>
      <c r="C60" s="206">
        <f>SUMIF(_AUX_MOTIVO_ESCOLAS!$A$2:$A$3630,A60,_AUX_MOTIVO_ESCOLAS!$B$2:$B$3630)</f>
        <v/>
      </c>
    </row>
    <row r="61" ht="15" customHeight="1" s="163">
      <c r="A61" s="211">
        <f>MOTIVO!A14</f>
        <v/>
      </c>
      <c r="B61" s="195">
        <f>IF(MOTIVO!B14="","",MOTIVO!B14)</f>
        <v/>
      </c>
      <c r="C61" s="206">
        <f>SUMIF(_AUX_MOTIVO_ESCOLAS!$A$2:$A$3630,A61,_AUX_MOTIVO_ESCOLAS!$B$2:$B$3630)</f>
        <v/>
      </c>
    </row>
    <row r="62" ht="15" customHeight="1" s="163">
      <c r="A62" s="211">
        <f>MOTIVO!A15</f>
        <v/>
      </c>
      <c r="B62" s="195">
        <f>IF(MOTIVO!B15="","",MOTIVO!B15)</f>
        <v/>
      </c>
      <c r="C62" s="206">
        <f>SUMIF(_AUX_MOTIVO_ESCOLAS!$A$2:$A$3630,A62,_AUX_MOTIVO_ESCOLAS!$B$2:$B$3630)</f>
        <v/>
      </c>
    </row>
    <row r="63" ht="15" customHeight="1" s="163">
      <c r="A63" s="211">
        <f>MOTIVO!A16</f>
        <v/>
      </c>
      <c r="B63" s="195">
        <f>IF(MOTIVO!B16="","",MOTIVO!B16)</f>
        <v/>
      </c>
      <c r="C63" s="206">
        <f>SUMIF(_AUX_MOTIVO_ESCOLAS!$A$2:$A$3630,A63,_AUX_MOTIVO_ESCOLAS!$B$2:$B$3630)</f>
        <v/>
      </c>
    </row>
    <row r="64" ht="15" customHeight="1" s="163">
      <c r="A64" s="211">
        <f>MOTIVO!A17</f>
        <v/>
      </c>
      <c r="B64" s="195">
        <f>IF(MOTIVO!B17="","",MOTIVO!B17)</f>
        <v/>
      </c>
      <c r="C64" s="206">
        <f>SUMIF(_AUX_MOTIVO_ESCOLAS!$A$2:$A$3630,A64,_AUX_MOTIVO_ESCOLAS!$B$2:$B$3630)</f>
        <v/>
      </c>
    </row>
    <row r="65" ht="15" customHeight="1" s="163">
      <c r="A65" s="211">
        <f>MOTIVO!A18</f>
        <v/>
      </c>
      <c r="B65" s="195">
        <f>IF(MOTIVO!B18="","",MOTIVO!B18)</f>
        <v/>
      </c>
      <c r="C65" s="206">
        <f>SUMIF(_AUX_MOTIVO_ESCOLAS!$A$2:$A$3630,A65,_AUX_MOTIVO_ESCOLAS!$B$2:$B$3630)</f>
        <v/>
      </c>
    </row>
    <row r="66" ht="15" customHeight="1" s="163">
      <c r="A66" s="211">
        <f>MOTIVO!A19</f>
        <v/>
      </c>
      <c r="B66" s="195">
        <f>IF(MOTIVO!B19="","",MOTIVO!B19)</f>
        <v/>
      </c>
      <c r="C66" s="206">
        <f>SUMIF(_AUX_MOTIVO_ESCOLAS!$A$2:$A$3630,A66,_AUX_MOTIVO_ESCOLAS!$B$2:$B$3630)</f>
        <v/>
      </c>
    </row>
    <row r="67" ht="15" customHeight="1" s="163">
      <c r="A67" s="211">
        <f>MOTIVO!A20</f>
        <v/>
      </c>
      <c r="B67" s="195">
        <f>IF(MOTIVO!B20="","",MOTIVO!B20)</f>
        <v/>
      </c>
      <c r="C67" s="206">
        <f>SUMIF(_AUX_MOTIVO_ESCOLAS!$A$2:$A$3630,A67,_AUX_MOTIVO_ESCOLAS!$B$2:$B$3630)</f>
        <v/>
      </c>
    </row>
    <row r="68" ht="15" customHeight="1" s="163">
      <c r="A68" s="211">
        <f>MOTIVO!A21</f>
        <v/>
      </c>
      <c r="B68" s="195">
        <f>IF(MOTIVO!B21="","",MOTIVO!B21)</f>
        <v/>
      </c>
      <c r="C68" s="206">
        <f>SUMIF(_AUX_MOTIVO_ESCOLAS!$A$2:$A$3630,A68,_AUX_MOTIVO_ESCOLAS!$B$2:$B$3630)</f>
        <v/>
      </c>
    </row>
    <row r="69" ht="15" customHeight="1" s="163">
      <c r="A69" s="211">
        <f>MOTIVO!A22</f>
        <v/>
      </c>
      <c r="B69" s="195">
        <f>IF(MOTIVO!B22="","",MOTIVO!B22)</f>
        <v/>
      </c>
      <c r="C69" s="206">
        <f>SUMIF(_AUX_MOTIVO_ESCOLAS!$A$2:$A$3630,A69,_AUX_MOTIVO_ESCOLAS!$B$2:$B$3630)</f>
        <v/>
      </c>
    </row>
    <row r="70" ht="15" customHeight="1" s="163">
      <c r="A70" s="211">
        <f>MOTIVO!A23</f>
        <v/>
      </c>
      <c r="B70" s="195">
        <f>IF(MOTIVO!B23="","",MOTIVO!B23)</f>
        <v/>
      </c>
      <c r="C70" s="206">
        <f>SUMIF(_AUX_MOTIVO_ESCOLAS!$A$2:$A$3630,A70,_AUX_MOTIVO_ESCOLAS!$B$2:$B$3630)</f>
        <v/>
      </c>
    </row>
    <row r="71" ht="15" customHeight="1" s="163">
      <c r="A71" s="192" t="inlineStr">
        <is>
          <t>TOTAL</t>
        </is>
      </c>
      <c r="C71" s="208">
        <f>SUM(C51:C70)</f>
        <v/>
      </c>
    </row>
    <row r="73" ht="24" customHeight="1" s="163">
      <c r="A73" s="205" t="inlineStr">
        <is>
          <t>📋  DEVOLUÇÃO POR MOTIVO  —  PRODUTORES (GALPÃO)</t>
        </is>
      </c>
    </row>
    <row r="74" ht="18" customHeight="1" s="163">
      <c r="A74" s="187" t="inlineStr">
        <is>
          <t>CÓDIGO</t>
        </is>
      </c>
      <c r="B74" s="187" t="inlineStr">
        <is>
          <t>MOTIVO</t>
        </is>
      </c>
      <c r="C74" s="187" t="inlineStr">
        <is>
          <t>TOTAL (kg)</t>
        </is>
      </c>
      <c r="D74" s="187" t="n"/>
      <c r="E74" s="187" t="n"/>
      <c r="F74" s="187" t="n"/>
    </row>
    <row r="75" ht="15" customHeight="1" s="163">
      <c r="A75" s="211">
        <f>MOTIVO!A4</f>
        <v/>
      </c>
      <c r="B75" s="195">
        <f>IF(MOTIVO!B4="","",MOTIVO!B4)</f>
        <v/>
      </c>
      <c r="C75" s="206">
        <f>SUMIF('PROD - Ana C. C. R. Souza'!H6:H24,A75,'PROD - Ana C. C. R. Souza'!D6:D24)+SUMIF('PROD - Anderson Mello Quimas'!H6:H24,A75,'PROD - Anderson Mello Quimas'!D6:D24)+SUMIF('PROD - Armando Jose Silva'!H6:H24,A75,'PROD - Armando Jose Silva'!D6:D24)+SUMIF('PROD - Arnaldo Silva'!H6:H24,A75,'PROD - Arnaldo Silva'!D6:D24)+SUMIF('PROD - Claudeni R. Xavier'!H6:H24,A75,'PROD - Claudeni R. Xavier'!D6:D24)+SUMIF('PROD - Edson Jose Silva'!H6:H24,A75,'PROD - Edson Jose Silva'!D6:D24)+SUMIF('PROD - Gabriel Adriano Souza'!H6:H24,A75,'PROD - Gabriel Adriano Souza'!D6:D24)+SUMIF('PROD - Gustavo Mello Rodrigues'!H6:H24,A75,'PROD - Gustavo Mello Rodrigues'!D6:D24)+SUMIF('PROD - Joaquim Sergio Lage'!H6:H24,A75,'PROD - Joaquim Sergio Lage'!D6:D24)+SUMIF('PROD - Jorge G. P. Diniz'!H6:H24,A75,'PROD - Jorge G. P. Diniz'!D6:D24)+SUMIF('PROD - Jose G. S. Mello'!H6:H24,A75,'PROD - Jose G. S. Mello'!D6:D24)+SUMIF('PROD - Jose Rodrigues Melo'!H6:H24,A75,'PROD - Jose Rodrigues Melo'!D6:D24)+SUMIF('PROD - Lucio Mauro Felix Silva'!H6:H24,A75,'PROD - Lucio Mauro Felix Silva'!D6:D24)+SUMIF('PROD - Luiz A. O. Pinto'!H6:H24,A75,'PROD - Luiz A. O. Pinto'!D6:D24)+SUMIF('PROD - Marcelo Marcos Delgado'!H6:H24,A75,'PROD - Marcelo Marcos Delgado'!D6:D24)+SUMIF('PROD - Marcio Azevedo Souza'!H6:H24,A75,'PROD - Marcio Azevedo Souza'!D6:D24)+SUMIF('PROD - Marco Antonio Coelho'!H6:H24,A75,'PROD - Marco Antonio Coelho'!D6:D24)+SUMIF('PROD - Marcos Marcelo Delgado'!H6:H24,A75,'PROD - Marcos Marcelo Delgado'!D6:D24)+SUMIF('PROD - Miguel Fernando Almeida'!H6:H24,A75,'PROD - Miguel Fernando Almeida'!D6:D24)+SUMIF('PROD - Nilson Ferreira Silva'!H6:H24,A75,'PROD - Nilson Ferreira Silva'!D6:D24)+SUMIF('PROD - Renato Jose Silva'!H6:H24,A75,'PROD - Renato Jose Silva'!D6:D24)+SUMIF('PROD - Rodolfo Azevedo Andrade'!H6:H24,A75,'PROD - Rodolfo Azevedo Andrade'!D6:D24)</f>
        <v/>
      </c>
    </row>
    <row r="76" ht="15" customHeight="1" s="163">
      <c r="A76" s="211">
        <f>MOTIVO!A5</f>
        <v/>
      </c>
      <c r="B76" s="195">
        <f>IF(MOTIVO!B5="","",MOTIVO!B5)</f>
        <v/>
      </c>
      <c r="C76" s="206">
        <f>SUMIF('PROD - Ana C. C. R. Souza'!H6:H24,A76,'PROD - Ana C. C. R. Souza'!D6:D24)+SUMIF('PROD - Anderson Mello Quimas'!H6:H24,A76,'PROD - Anderson Mello Quimas'!D6:D24)+SUMIF('PROD - Armando Jose Silva'!H6:H24,A76,'PROD - Armando Jose Silva'!D6:D24)+SUMIF('PROD - Arnaldo Silva'!H6:H24,A76,'PROD - Arnaldo Silva'!D6:D24)+SUMIF('PROD - Claudeni R. Xavier'!H6:H24,A76,'PROD - Claudeni R. Xavier'!D6:D24)+SUMIF('PROD - Edson Jose Silva'!H6:H24,A76,'PROD - Edson Jose Silva'!D6:D24)+SUMIF('PROD - Gabriel Adriano Souza'!H6:H24,A76,'PROD - Gabriel Adriano Souza'!D6:D24)+SUMIF('PROD - Gustavo Mello Rodrigues'!H6:H24,A76,'PROD - Gustavo Mello Rodrigues'!D6:D24)+SUMIF('PROD - Joaquim Sergio Lage'!H6:H24,A76,'PROD - Joaquim Sergio Lage'!D6:D24)+SUMIF('PROD - Jorge G. P. Diniz'!H6:H24,A76,'PROD - Jorge G. P. Diniz'!D6:D24)+SUMIF('PROD - Jose G. S. Mello'!H6:H24,A76,'PROD - Jose G. S. Mello'!D6:D24)+SUMIF('PROD - Jose Rodrigues Melo'!H6:H24,A76,'PROD - Jose Rodrigues Melo'!D6:D24)+SUMIF('PROD - Lucio Mauro Felix Silva'!H6:H24,A76,'PROD - Lucio Mauro Felix Silva'!D6:D24)+SUMIF('PROD - Luiz A. O. Pinto'!H6:H24,A76,'PROD - Luiz A. O. Pinto'!D6:D24)+SUMIF('PROD - Marcelo Marcos Delgado'!H6:H24,A76,'PROD - Marcelo Marcos Delgado'!D6:D24)+SUMIF('PROD - Marcio Azevedo Souza'!H6:H24,A76,'PROD - Marcio Azevedo Souza'!D6:D24)+SUMIF('PROD - Marco Antonio Coelho'!H6:H24,A76,'PROD - Marco Antonio Coelho'!D6:D24)+SUMIF('PROD - Marcos Marcelo Delgado'!H6:H24,A76,'PROD - Marcos Marcelo Delgado'!D6:D24)+SUMIF('PROD - Miguel Fernando Almeida'!H6:H24,A76,'PROD - Miguel Fernando Almeida'!D6:D24)+SUMIF('PROD - Nilson Ferreira Silva'!H6:H24,A76,'PROD - Nilson Ferreira Silva'!D6:D24)+SUMIF('PROD - Renato Jose Silva'!H6:H24,A76,'PROD - Renato Jose Silva'!D6:D24)+SUMIF('PROD - Rodolfo Azevedo Andrade'!H6:H24,A76,'PROD - Rodolfo Azevedo Andrade'!D6:D24)</f>
        <v/>
      </c>
    </row>
    <row r="77" ht="15" customHeight="1" s="163">
      <c r="A77" s="211">
        <f>MOTIVO!A6</f>
        <v/>
      </c>
      <c r="B77" s="195">
        <f>IF(MOTIVO!B6="","",MOTIVO!B6)</f>
        <v/>
      </c>
      <c r="C77" s="206">
        <f>SUMIF('PROD - Ana C. C. R. Souza'!H6:H24,A77,'PROD - Ana C. C. R. Souza'!D6:D24)+SUMIF('PROD - Anderson Mello Quimas'!H6:H24,A77,'PROD - Anderson Mello Quimas'!D6:D24)+SUMIF('PROD - Armando Jose Silva'!H6:H24,A77,'PROD - Armando Jose Silva'!D6:D24)+SUMIF('PROD - Arnaldo Silva'!H6:H24,A77,'PROD - Arnaldo Silva'!D6:D24)+SUMIF('PROD - Claudeni R. Xavier'!H6:H24,A77,'PROD - Claudeni R. Xavier'!D6:D24)+SUMIF('PROD - Edson Jose Silva'!H6:H24,A77,'PROD - Edson Jose Silva'!D6:D24)+SUMIF('PROD - Gabriel Adriano Souza'!H6:H24,A77,'PROD - Gabriel Adriano Souza'!D6:D24)+SUMIF('PROD - Gustavo Mello Rodrigues'!H6:H24,A77,'PROD - Gustavo Mello Rodrigues'!D6:D24)+SUMIF('PROD - Joaquim Sergio Lage'!H6:H24,A77,'PROD - Joaquim Sergio Lage'!D6:D24)+SUMIF('PROD - Jorge G. P. Diniz'!H6:H24,A77,'PROD - Jorge G. P. Diniz'!D6:D24)+SUMIF('PROD - Jose G. S. Mello'!H6:H24,A77,'PROD - Jose G. S. Mello'!D6:D24)+SUMIF('PROD - Jose Rodrigues Melo'!H6:H24,A77,'PROD - Jose Rodrigues Melo'!D6:D24)+SUMIF('PROD - Lucio Mauro Felix Silva'!H6:H24,A77,'PROD - Lucio Mauro Felix Silva'!D6:D24)+SUMIF('PROD - Luiz A. O. Pinto'!H6:H24,A77,'PROD - Luiz A. O. Pinto'!D6:D24)+SUMIF('PROD - Marcelo Marcos Delgado'!H6:H24,A77,'PROD - Marcelo Marcos Delgado'!D6:D24)+SUMIF('PROD - Marcio Azevedo Souza'!H6:H24,A77,'PROD - Marcio Azevedo Souza'!D6:D24)+SUMIF('PROD - Marco Antonio Coelho'!H6:H24,A77,'PROD - Marco Antonio Coelho'!D6:D24)+SUMIF('PROD - Marcos Marcelo Delgado'!H6:H24,A77,'PROD - Marcos Marcelo Delgado'!D6:D24)+SUMIF('PROD - Miguel Fernando Almeida'!H6:H24,A77,'PROD - Miguel Fernando Almeida'!D6:D24)+SUMIF('PROD - Nilson Ferreira Silva'!H6:H24,A77,'PROD - Nilson Ferreira Silva'!D6:D24)+SUMIF('PROD - Renato Jose Silva'!H6:H24,A77,'PROD - Renato Jose Silva'!D6:D24)+SUMIF('PROD - Rodolfo Azevedo Andrade'!H6:H24,A77,'PROD - Rodolfo Azevedo Andrade'!D6:D24)</f>
        <v/>
      </c>
    </row>
    <row r="78" ht="15" customHeight="1" s="163">
      <c r="A78" s="211">
        <f>MOTIVO!A7</f>
        <v/>
      </c>
      <c r="B78" s="195">
        <f>IF(MOTIVO!B7="","",MOTIVO!B7)</f>
        <v/>
      </c>
      <c r="C78" s="206">
        <f>SUMIF('PROD - Ana C. C. R. Souza'!H6:H24,A78,'PROD - Ana C. C. R. Souza'!D6:D24)+SUMIF('PROD - Anderson Mello Quimas'!H6:H24,A78,'PROD - Anderson Mello Quimas'!D6:D24)+SUMIF('PROD - Armando Jose Silva'!H6:H24,A78,'PROD - Armando Jose Silva'!D6:D24)+SUMIF('PROD - Arnaldo Silva'!H6:H24,A78,'PROD - Arnaldo Silva'!D6:D24)+SUMIF('PROD - Claudeni R. Xavier'!H6:H24,A78,'PROD - Claudeni R. Xavier'!D6:D24)+SUMIF('PROD - Edson Jose Silva'!H6:H24,A78,'PROD - Edson Jose Silva'!D6:D24)+SUMIF('PROD - Gabriel Adriano Souza'!H6:H24,A78,'PROD - Gabriel Adriano Souza'!D6:D24)+SUMIF('PROD - Gustavo Mello Rodrigues'!H6:H24,A78,'PROD - Gustavo Mello Rodrigues'!D6:D24)+SUMIF('PROD - Joaquim Sergio Lage'!H6:H24,A78,'PROD - Joaquim Sergio Lage'!D6:D24)+SUMIF('PROD - Jorge G. P. Diniz'!H6:H24,A78,'PROD - Jorge G. P. Diniz'!D6:D24)+SUMIF('PROD - Jose G. S. Mello'!H6:H24,A78,'PROD - Jose G. S. Mello'!D6:D24)+SUMIF('PROD - Jose Rodrigues Melo'!H6:H24,A78,'PROD - Jose Rodrigues Melo'!D6:D24)+SUMIF('PROD - Lucio Mauro Felix Silva'!H6:H24,A78,'PROD - Lucio Mauro Felix Silva'!D6:D24)+SUMIF('PROD - Luiz A. O. Pinto'!H6:H24,A78,'PROD - Luiz A. O. Pinto'!D6:D24)+SUMIF('PROD - Marcelo Marcos Delgado'!H6:H24,A78,'PROD - Marcelo Marcos Delgado'!D6:D24)+SUMIF('PROD - Marcio Azevedo Souza'!H6:H24,A78,'PROD - Marcio Azevedo Souza'!D6:D24)+SUMIF('PROD - Marco Antonio Coelho'!H6:H24,A78,'PROD - Marco Antonio Coelho'!D6:D24)+SUMIF('PROD - Marcos Marcelo Delgado'!H6:H24,A78,'PROD - Marcos Marcelo Delgado'!D6:D24)+SUMIF('PROD - Miguel Fernando Almeida'!H6:H24,A78,'PROD - Miguel Fernando Almeida'!D6:D24)+SUMIF('PROD - Nilson Ferreira Silva'!H6:H24,A78,'PROD - Nilson Ferreira Silva'!D6:D24)+SUMIF('PROD - Renato Jose Silva'!H6:H24,A78,'PROD - Renato Jose Silva'!D6:D24)+SUMIF('PROD - Rodolfo Azevedo Andrade'!H6:H24,A78,'PROD - Rodolfo Azevedo Andrade'!D6:D24)</f>
        <v/>
      </c>
    </row>
    <row r="79" ht="15" customHeight="1" s="163">
      <c r="A79" s="211">
        <f>MOTIVO!A8</f>
        <v/>
      </c>
      <c r="B79" s="195">
        <f>IF(MOTIVO!B8="","",MOTIVO!B8)</f>
        <v/>
      </c>
      <c r="C79" s="206">
        <f>SUMIF('PROD - Ana C. C. R. Souza'!H6:H24,A79,'PROD - Ana C. C. R. Souza'!D6:D24)+SUMIF('PROD - Anderson Mello Quimas'!H6:H24,A79,'PROD - Anderson Mello Quimas'!D6:D24)+SUMIF('PROD - Armando Jose Silva'!H6:H24,A79,'PROD - Armando Jose Silva'!D6:D24)+SUMIF('PROD - Arnaldo Silva'!H6:H24,A79,'PROD - Arnaldo Silva'!D6:D24)+SUMIF('PROD - Claudeni R. Xavier'!H6:H24,A79,'PROD - Claudeni R. Xavier'!D6:D24)+SUMIF('PROD - Edson Jose Silva'!H6:H24,A79,'PROD - Edson Jose Silva'!D6:D24)+SUMIF('PROD - Gabriel Adriano Souza'!H6:H24,A79,'PROD - Gabriel Adriano Souza'!D6:D24)+SUMIF('PROD - Gustavo Mello Rodrigues'!H6:H24,A79,'PROD - Gustavo Mello Rodrigues'!D6:D24)+SUMIF('PROD - Joaquim Sergio Lage'!H6:H24,A79,'PROD - Joaquim Sergio Lage'!D6:D24)+SUMIF('PROD - Jorge G. P. Diniz'!H6:H24,A79,'PROD - Jorge G. P. Diniz'!D6:D24)+SUMIF('PROD - Jose G. S. Mello'!H6:H24,A79,'PROD - Jose G. S. Mello'!D6:D24)+SUMIF('PROD - Jose Rodrigues Melo'!H6:H24,A79,'PROD - Jose Rodrigues Melo'!D6:D24)+SUMIF('PROD - Lucio Mauro Felix Silva'!H6:H24,A79,'PROD - Lucio Mauro Felix Silva'!D6:D24)+SUMIF('PROD - Luiz A. O. Pinto'!H6:H24,A79,'PROD - Luiz A. O. Pinto'!D6:D24)+SUMIF('PROD - Marcelo Marcos Delgado'!H6:H24,A79,'PROD - Marcelo Marcos Delgado'!D6:D24)+SUMIF('PROD - Marcio Azevedo Souza'!H6:H24,A79,'PROD - Marcio Azevedo Souza'!D6:D24)+SUMIF('PROD - Marco Antonio Coelho'!H6:H24,A79,'PROD - Marco Antonio Coelho'!D6:D24)+SUMIF('PROD - Marcos Marcelo Delgado'!H6:H24,A79,'PROD - Marcos Marcelo Delgado'!D6:D24)+SUMIF('PROD - Miguel Fernando Almeida'!H6:H24,A79,'PROD - Miguel Fernando Almeida'!D6:D24)+SUMIF('PROD - Nilson Ferreira Silva'!H6:H24,A79,'PROD - Nilson Ferreira Silva'!D6:D24)+SUMIF('PROD - Renato Jose Silva'!H6:H24,A79,'PROD - Renato Jose Silva'!D6:D24)+SUMIF('PROD - Rodolfo Azevedo Andrade'!H6:H24,A79,'PROD - Rodolfo Azevedo Andrade'!D6:D24)</f>
        <v/>
      </c>
    </row>
    <row r="80" ht="15" customHeight="1" s="163">
      <c r="A80" s="211">
        <f>MOTIVO!A9</f>
        <v/>
      </c>
      <c r="B80" s="195">
        <f>IF(MOTIVO!B9="","",MOTIVO!B9)</f>
        <v/>
      </c>
      <c r="C80" s="206">
        <f>SUMIF('PROD - Ana C. C. R. Souza'!H6:H24,A80,'PROD - Ana C. C. R. Souza'!D6:D24)+SUMIF('PROD - Anderson Mello Quimas'!H6:H24,A80,'PROD - Anderson Mello Quimas'!D6:D24)+SUMIF('PROD - Armando Jose Silva'!H6:H24,A80,'PROD - Armando Jose Silva'!D6:D24)+SUMIF('PROD - Arnaldo Silva'!H6:H24,A80,'PROD - Arnaldo Silva'!D6:D24)+SUMIF('PROD - Claudeni R. Xavier'!H6:H24,A80,'PROD - Claudeni R. Xavier'!D6:D24)+SUMIF('PROD - Edson Jose Silva'!H6:H24,A80,'PROD - Edson Jose Silva'!D6:D24)+SUMIF('PROD - Gabriel Adriano Souza'!H6:H24,A80,'PROD - Gabriel Adriano Souza'!D6:D24)+SUMIF('PROD - Gustavo Mello Rodrigues'!H6:H24,A80,'PROD - Gustavo Mello Rodrigues'!D6:D24)+SUMIF('PROD - Joaquim Sergio Lage'!H6:H24,A80,'PROD - Joaquim Sergio Lage'!D6:D24)+SUMIF('PROD - Jorge G. P. Diniz'!H6:H24,A80,'PROD - Jorge G. P. Diniz'!D6:D24)+SUMIF('PROD - Jose G. S. Mello'!H6:H24,A80,'PROD - Jose G. S. Mello'!D6:D24)+SUMIF('PROD - Jose Rodrigues Melo'!H6:H24,A80,'PROD - Jose Rodrigues Melo'!D6:D24)+SUMIF('PROD - Lucio Mauro Felix Silva'!H6:H24,A80,'PROD - Lucio Mauro Felix Silva'!D6:D24)+SUMIF('PROD - Luiz A. O. Pinto'!H6:H24,A80,'PROD - Luiz A. O. Pinto'!D6:D24)+SUMIF('PROD - Marcelo Marcos Delgado'!H6:H24,A80,'PROD - Marcelo Marcos Delgado'!D6:D24)+SUMIF('PROD - Marcio Azevedo Souza'!H6:H24,A80,'PROD - Marcio Azevedo Souza'!D6:D24)+SUMIF('PROD - Marco Antonio Coelho'!H6:H24,A80,'PROD - Marco Antonio Coelho'!D6:D24)+SUMIF('PROD - Marcos Marcelo Delgado'!H6:H24,A80,'PROD - Marcos Marcelo Delgado'!D6:D24)+SUMIF('PROD - Miguel Fernando Almeida'!H6:H24,A80,'PROD - Miguel Fernando Almeida'!D6:D24)+SUMIF('PROD - Nilson Ferreira Silva'!H6:H24,A80,'PROD - Nilson Ferreira Silva'!D6:D24)+SUMIF('PROD - Renato Jose Silva'!H6:H24,A80,'PROD - Renato Jose Silva'!D6:D24)+SUMIF('PROD - Rodolfo Azevedo Andrade'!H6:H24,A80,'PROD - Rodolfo Azevedo Andrade'!D6:D24)</f>
        <v/>
      </c>
    </row>
    <row r="81" ht="15" customHeight="1" s="163">
      <c r="A81" s="211">
        <f>MOTIVO!A10</f>
        <v/>
      </c>
      <c r="B81" s="195">
        <f>IF(MOTIVO!B10="","",MOTIVO!B10)</f>
        <v/>
      </c>
      <c r="C81" s="206">
        <f>SUMIF('PROD - Ana C. C. R. Souza'!H6:H24,A81,'PROD - Ana C. C. R. Souza'!D6:D24)+SUMIF('PROD - Anderson Mello Quimas'!H6:H24,A81,'PROD - Anderson Mello Quimas'!D6:D24)+SUMIF('PROD - Armando Jose Silva'!H6:H24,A81,'PROD - Armando Jose Silva'!D6:D24)+SUMIF('PROD - Arnaldo Silva'!H6:H24,A81,'PROD - Arnaldo Silva'!D6:D24)+SUMIF('PROD - Claudeni R. Xavier'!H6:H24,A81,'PROD - Claudeni R. Xavier'!D6:D24)+SUMIF('PROD - Edson Jose Silva'!H6:H24,A81,'PROD - Edson Jose Silva'!D6:D24)+SUMIF('PROD - Gabriel Adriano Souza'!H6:H24,A81,'PROD - Gabriel Adriano Souza'!D6:D24)+SUMIF('PROD - Gustavo Mello Rodrigues'!H6:H24,A81,'PROD - Gustavo Mello Rodrigues'!D6:D24)+SUMIF('PROD - Joaquim Sergio Lage'!H6:H24,A81,'PROD - Joaquim Sergio Lage'!D6:D24)+SUMIF('PROD - Jorge G. P. Diniz'!H6:H24,A81,'PROD - Jorge G. P. Diniz'!D6:D24)+SUMIF('PROD - Jose G. S. Mello'!H6:H24,A81,'PROD - Jose G. S. Mello'!D6:D24)+SUMIF('PROD - Jose Rodrigues Melo'!H6:H24,A81,'PROD - Jose Rodrigues Melo'!D6:D24)+SUMIF('PROD - Lucio Mauro Felix Silva'!H6:H24,A81,'PROD - Lucio Mauro Felix Silva'!D6:D24)+SUMIF('PROD - Luiz A. O. Pinto'!H6:H24,A81,'PROD - Luiz A. O. Pinto'!D6:D24)+SUMIF('PROD - Marcelo Marcos Delgado'!H6:H24,A81,'PROD - Marcelo Marcos Delgado'!D6:D24)+SUMIF('PROD - Marcio Azevedo Souza'!H6:H24,A81,'PROD - Marcio Azevedo Souza'!D6:D24)+SUMIF('PROD - Marco Antonio Coelho'!H6:H24,A81,'PROD - Marco Antonio Coelho'!D6:D24)+SUMIF('PROD - Marcos Marcelo Delgado'!H6:H24,A81,'PROD - Marcos Marcelo Delgado'!D6:D24)+SUMIF('PROD - Miguel Fernando Almeida'!H6:H24,A81,'PROD - Miguel Fernando Almeida'!D6:D24)+SUMIF('PROD - Nilson Ferreira Silva'!H6:H24,A81,'PROD - Nilson Ferreira Silva'!D6:D24)+SUMIF('PROD - Renato Jose Silva'!H6:H24,A81,'PROD - Renato Jose Silva'!D6:D24)+SUMIF('PROD - Rodolfo Azevedo Andrade'!H6:H24,A81,'PROD - Rodolfo Azevedo Andrade'!D6:D24)</f>
        <v/>
      </c>
    </row>
    <row r="82" ht="15" customHeight="1" s="163">
      <c r="A82" s="211">
        <f>MOTIVO!A11</f>
        <v/>
      </c>
      <c r="B82" s="195">
        <f>IF(MOTIVO!B11="","",MOTIVO!B11)</f>
        <v/>
      </c>
      <c r="C82" s="206">
        <f>SUMIF('PROD - Ana C. C. R. Souza'!H6:H24,A82,'PROD - Ana C. C. R. Souza'!D6:D24)+SUMIF('PROD - Anderson Mello Quimas'!H6:H24,A82,'PROD - Anderson Mello Quimas'!D6:D24)+SUMIF('PROD - Armando Jose Silva'!H6:H24,A82,'PROD - Armando Jose Silva'!D6:D24)+SUMIF('PROD - Arnaldo Silva'!H6:H24,A82,'PROD - Arnaldo Silva'!D6:D24)+SUMIF('PROD - Claudeni R. Xavier'!H6:H24,A82,'PROD - Claudeni R. Xavier'!D6:D24)+SUMIF('PROD - Edson Jose Silva'!H6:H24,A82,'PROD - Edson Jose Silva'!D6:D24)+SUMIF('PROD - Gabriel Adriano Souza'!H6:H24,A82,'PROD - Gabriel Adriano Souza'!D6:D24)+SUMIF('PROD - Gustavo Mello Rodrigues'!H6:H24,A82,'PROD - Gustavo Mello Rodrigues'!D6:D24)+SUMIF('PROD - Joaquim Sergio Lage'!H6:H24,A82,'PROD - Joaquim Sergio Lage'!D6:D24)+SUMIF('PROD - Jorge G. P. Diniz'!H6:H24,A82,'PROD - Jorge G. P. Diniz'!D6:D24)+SUMIF('PROD - Jose G. S. Mello'!H6:H24,A82,'PROD - Jose G. S. Mello'!D6:D24)+SUMIF('PROD - Jose Rodrigues Melo'!H6:H24,A82,'PROD - Jose Rodrigues Melo'!D6:D24)+SUMIF('PROD - Lucio Mauro Felix Silva'!H6:H24,A82,'PROD - Lucio Mauro Felix Silva'!D6:D24)+SUMIF('PROD - Luiz A. O. Pinto'!H6:H24,A82,'PROD - Luiz A. O. Pinto'!D6:D24)+SUMIF('PROD - Marcelo Marcos Delgado'!H6:H24,A82,'PROD - Marcelo Marcos Delgado'!D6:D24)+SUMIF('PROD - Marcio Azevedo Souza'!H6:H24,A82,'PROD - Marcio Azevedo Souza'!D6:D24)+SUMIF('PROD - Marco Antonio Coelho'!H6:H24,A82,'PROD - Marco Antonio Coelho'!D6:D24)+SUMIF('PROD - Marcos Marcelo Delgado'!H6:H24,A82,'PROD - Marcos Marcelo Delgado'!D6:D24)+SUMIF('PROD - Miguel Fernando Almeida'!H6:H24,A82,'PROD - Miguel Fernando Almeida'!D6:D24)+SUMIF('PROD - Nilson Ferreira Silva'!H6:H24,A82,'PROD - Nilson Ferreira Silva'!D6:D24)+SUMIF('PROD - Renato Jose Silva'!H6:H24,A82,'PROD - Renato Jose Silva'!D6:D24)+SUMIF('PROD - Rodolfo Azevedo Andrade'!H6:H24,A82,'PROD - Rodolfo Azevedo Andrade'!D6:D24)</f>
        <v/>
      </c>
    </row>
    <row r="83" ht="15" customHeight="1" s="163">
      <c r="A83" s="211">
        <f>MOTIVO!A12</f>
        <v/>
      </c>
      <c r="B83" s="195">
        <f>IF(MOTIVO!B12="","",MOTIVO!B12)</f>
        <v/>
      </c>
      <c r="C83" s="206">
        <f>SUMIF('PROD - Ana C. C. R. Souza'!H6:H24,A83,'PROD - Ana C. C. R. Souza'!D6:D24)+SUMIF('PROD - Anderson Mello Quimas'!H6:H24,A83,'PROD - Anderson Mello Quimas'!D6:D24)+SUMIF('PROD - Armando Jose Silva'!H6:H24,A83,'PROD - Armando Jose Silva'!D6:D24)+SUMIF('PROD - Arnaldo Silva'!H6:H24,A83,'PROD - Arnaldo Silva'!D6:D24)+SUMIF('PROD - Claudeni R. Xavier'!H6:H24,A83,'PROD - Claudeni R. Xavier'!D6:D24)+SUMIF('PROD - Edson Jose Silva'!H6:H24,A83,'PROD - Edson Jose Silva'!D6:D24)+SUMIF('PROD - Gabriel Adriano Souza'!H6:H24,A83,'PROD - Gabriel Adriano Souza'!D6:D24)+SUMIF('PROD - Gustavo Mello Rodrigues'!H6:H24,A83,'PROD - Gustavo Mello Rodrigues'!D6:D24)+SUMIF('PROD - Joaquim Sergio Lage'!H6:H24,A83,'PROD - Joaquim Sergio Lage'!D6:D24)+SUMIF('PROD - Jorge G. P. Diniz'!H6:H24,A83,'PROD - Jorge G. P. Diniz'!D6:D24)+SUMIF('PROD - Jose G. S. Mello'!H6:H24,A83,'PROD - Jose G. S. Mello'!D6:D24)+SUMIF('PROD - Jose Rodrigues Melo'!H6:H24,A83,'PROD - Jose Rodrigues Melo'!D6:D24)+SUMIF('PROD - Lucio Mauro Felix Silva'!H6:H24,A83,'PROD - Lucio Mauro Felix Silva'!D6:D24)+SUMIF('PROD - Luiz A. O. Pinto'!H6:H24,A83,'PROD - Luiz A. O. Pinto'!D6:D24)+SUMIF('PROD - Marcelo Marcos Delgado'!H6:H24,A83,'PROD - Marcelo Marcos Delgado'!D6:D24)+SUMIF('PROD - Marcio Azevedo Souza'!H6:H24,A83,'PROD - Marcio Azevedo Souza'!D6:D24)+SUMIF('PROD - Marco Antonio Coelho'!H6:H24,A83,'PROD - Marco Antonio Coelho'!D6:D24)+SUMIF('PROD - Marcos Marcelo Delgado'!H6:H24,A83,'PROD - Marcos Marcelo Delgado'!D6:D24)+SUMIF('PROD - Miguel Fernando Almeida'!H6:H24,A83,'PROD - Miguel Fernando Almeida'!D6:D24)+SUMIF('PROD - Nilson Ferreira Silva'!H6:H24,A83,'PROD - Nilson Ferreira Silva'!D6:D24)+SUMIF('PROD - Renato Jose Silva'!H6:H24,A83,'PROD - Renato Jose Silva'!D6:D24)+SUMIF('PROD - Rodolfo Azevedo Andrade'!H6:H24,A83,'PROD - Rodolfo Azevedo Andrade'!D6:D24)</f>
        <v/>
      </c>
    </row>
    <row r="84" ht="15" customHeight="1" s="163">
      <c r="A84" s="211">
        <f>MOTIVO!A13</f>
        <v/>
      </c>
      <c r="B84" s="195">
        <f>IF(MOTIVO!B13="","",MOTIVO!B13)</f>
        <v/>
      </c>
      <c r="C84" s="206">
        <f>SUMIF('PROD - Ana C. C. R. Souza'!H6:H24,A84,'PROD - Ana C. C. R. Souza'!D6:D24)+SUMIF('PROD - Anderson Mello Quimas'!H6:H24,A84,'PROD - Anderson Mello Quimas'!D6:D24)+SUMIF('PROD - Armando Jose Silva'!H6:H24,A84,'PROD - Armando Jose Silva'!D6:D24)+SUMIF('PROD - Arnaldo Silva'!H6:H24,A84,'PROD - Arnaldo Silva'!D6:D24)+SUMIF('PROD - Claudeni R. Xavier'!H6:H24,A84,'PROD - Claudeni R. Xavier'!D6:D24)+SUMIF('PROD - Edson Jose Silva'!H6:H24,A84,'PROD - Edson Jose Silva'!D6:D24)+SUMIF('PROD - Gabriel Adriano Souza'!H6:H24,A84,'PROD - Gabriel Adriano Souza'!D6:D24)+SUMIF('PROD - Gustavo Mello Rodrigues'!H6:H24,A84,'PROD - Gustavo Mello Rodrigues'!D6:D24)+SUMIF('PROD - Joaquim Sergio Lage'!H6:H24,A84,'PROD - Joaquim Sergio Lage'!D6:D24)+SUMIF('PROD - Jorge G. P. Diniz'!H6:H24,A84,'PROD - Jorge G. P. Diniz'!D6:D24)+SUMIF('PROD - Jose G. S. Mello'!H6:H24,A84,'PROD - Jose G. S. Mello'!D6:D24)+SUMIF('PROD - Jose Rodrigues Melo'!H6:H24,A84,'PROD - Jose Rodrigues Melo'!D6:D24)+SUMIF('PROD - Lucio Mauro Felix Silva'!H6:H24,A84,'PROD - Lucio Mauro Felix Silva'!D6:D24)+SUMIF('PROD - Luiz A. O. Pinto'!H6:H24,A84,'PROD - Luiz A. O. Pinto'!D6:D24)+SUMIF('PROD - Marcelo Marcos Delgado'!H6:H24,A84,'PROD - Marcelo Marcos Delgado'!D6:D24)+SUMIF('PROD - Marcio Azevedo Souza'!H6:H24,A84,'PROD - Marcio Azevedo Souza'!D6:D24)+SUMIF('PROD - Marco Antonio Coelho'!H6:H24,A84,'PROD - Marco Antonio Coelho'!D6:D24)+SUMIF('PROD - Marcos Marcelo Delgado'!H6:H24,A84,'PROD - Marcos Marcelo Delgado'!D6:D24)+SUMIF('PROD - Miguel Fernando Almeida'!H6:H24,A84,'PROD - Miguel Fernando Almeida'!D6:D24)+SUMIF('PROD - Nilson Ferreira Silva'!H6:H24,A84,'PROD - Nilson Ferreira Silva'!D6:D24)+SUMIF('PROD - Renato Jose Silva'!H6:H24,A84,'PROD - Renato Jose Silva'!D6:D24)+SUMIF('PROD - Rodolfo Azevedo Andrade'!H6:H24,A84,'PROD - Rodolfo Azevedo Andrade'!D6:D24)</f>
        <v/>
      </c>
    </row>
    <row r="85" ht="15" customHeight="1" s="163">
      <c r="A85" s="211">
        <f>MOTIVO!A14</f>
        <v/>
      </c>
      <c r="B85" s="195">
        <f>IF(MOTIVO!B14="","",MOTIVO!B14)</f>
        <v/>
      </c>
      <c r="C85" s="206">
        <f>SUMIF('PROD - Ana C. C. R. Souza'!H6:H24,A85,'PROD - Ana C. C. R. Souza'!D6:D24)+SUMIF('PROD - Anderson Mello Quimas'!H6:H24,A85,'PROD - Anderson Mello Quimas'!D6:D24)+SUMIF('PROD - Armando Jose Silva'!H6:H24,A85,'PROD - Armando Jose Silva'!D6:D24)+SUMIF('PROD - Arnaldo Silva'!H6:H24,A85,'PROD - Arnaldo Silva'!D6:D24)+SUMIF('PROD - Claudeni R. Xavier'!H6:H24,A85,'PROD - Claudeni R. Xavier'!D6:D24)+SUMIF('PROD - Edson Jose Silva'!H6:H24,A85,'PROD - Edson Jose Silva'!D6:D24)+SUMIF('PROD - Gabriel Adriano Souza'!H6:H24,A85,'PROD - Gabriel Adriano Souza'!D6:D24)+SUMIF('PROD - Gustavo Mello Rodrigues'!H6:H24,A85,'PROD - Gustavo Mello Rodrigues'!D6:D24)+SUMIF('PROD - Joaquim Sergio Lage'!H6:H24,A85,'PROD - Joaquim Sergio Lage'!D6:D24)+SUMIF('PROD - Jorge G. P. Diniz'!H6:H24,A85,'PROD - Jorge G. P. Diniz'!D6:D24)+SUMIF('PROD - Jose G. S. Mello'!H6:H24,A85,'PROD - Jose G. S. Mello'!D6:D24)+SUMIF('PROD - Jose Rodrigues Melo'!H6:H24,A85,'PROD - Jose Rodrigues Melo'!D6:D24)+SUMIF('PROD - Lucio Mauro Felix Silva'!H6:H24,A85,'PROD - Lucio Mauro Felix Silva'!D6:D24)+SUMIF('PROD - Luiz A. O. Pinto'!H6:H24,A85,'PROD - Luiz A. O. Pinto'!D6:D24)+SUMIF('PROD - Marcelo Marcos Delgado'!H6:H24,A85,'PROD - Marcelo Marcos Delgado'!D6:D24)+SUMIF('PROD - Marcio Azevedo Souza'!H6:H24,A85,'PROD - Marcio Azevedo Souza'!D6:D24)+SUMIF('PROD - Marco Antonio Coelho'!H6:H24,A85,'PROD - Marco Antonio Coelho'!D6:D24)+SUMIF('PROD - Marcos Marcelo Delgado'!H6:H24,A85,'PROD - Marcos Marcelo Delgado'!D6:D24)+SUMIF('PROD - Miguel Fernando Almeida'!H6:H24,A85,'PROD - Miguel Fernando Almeida'!D6:D24)+SUMIF('PROD - Nilson Ferreira Silva'!H6:H24,A85,'PROD - Nilson Ferreira Silva'!D6:D24)+SUMIF('PROD - Renato Jose Silva'!H6:H24,A85,'PROD - Renato Jose Silva'!D6:D24)+SUMIF('PROD - Rodolfo Azevedo Andrade'!H6:H24,A85,'PROD - Rodolfo Azevedo Andrade'!D6:D24)</f>
        <v/>
      </c>
    </row>
    <row r="86" ht="15" customHeight="1" s="163">
      <c r="A86" s="211">
        <f>MOTIVO!A15</f>
        <v/>
      </c>
      <c r="B86" s="195">
        <f>IF(MOTIVO!B15="","",MOTIVO!B15)</f>
        <v/>
      </c>
      <c r="C86" s="206">
        <f>SUMIF('PROD - Ana C. C. R. Souza'!H6:H24,A86,'PROD - Ana C. C. R. Souza'!D6:D24)+SUMIF('PROD - Anderson Mello Quimas'!H6:H24,A86,'PROD - Anderson Mello Quimas'!D6:D24)+SUMIF('PROD - Armando Jose Silva'!H6:H24,A86,'PROD - Armando Jose Silva'!D6:D24)+SUMIF('PROD - Arnaldo Silva'!H6:H24,A86,'PROD - Arnaldo Silva'!D6:D24)+SUMIF('PROD - Claudeni R. Xavier'!H6:H24,A86,'PROD - Claudeni R. Xavier'!D6:D24)+SUMIF('PROD - Edson Jose Silva'!H6:H24,A86,'PROD - Edson Jose Silva'!D6:D24)+SUMIF('PROD - Gabriel Adriano Souza'!H6:H24,A86,'PROD - Gabriel Adriano Souza'!D6:D24)+SUMIF('PROD - Gustavo Mello Rodrigues'!H6:H24,A86,'PROD - Gustavo Mello Rodrigues'!D6:D24)+SUMIF('PROD - Joaquim Sergio Lage'!H6:H24,A86,'PROD - Joaquim Sergio Lage'!D6:D24)+SUMIF('PROD - Jorge G. P. Diniz'!H6:H24,A86,'PROD - Jorge G. P. Diniz'!D6:D24)+SUMIF('PROD - Jose G. S. Mello'!H6:H24,A86,'PROD - Jose G. S. Mello'!D6:D24)+SUMIF('PROD - Jose Rodrigues Melo'!H6:H24,A86,'PROD - Jose Rodrigues Melo'!D6:D24)+SUMIF('PROD - Lucio Mauro Felix Silva'!H6:H24,A86,'PROD - Lucio Mauro Felix Silva'!D6:D24)+SUMIF('PROD - Luiz A. O. Pinto'!H6:H24,A86,'PROD - Luiz A. O. Pinto'!D6:D24)+SUMIF('PROD - Marcelo Marcos Delgado'!H6:H24,A86,'PROD - Marcelo Marcos Delgado'!D6:D24)+SUMIF('PROD - Marcio Azevedo Souza'!H6:H24,A86,'PROD - Marcio Azevedo Souza'!D6:D24)+SUMIF('PROD - Marco Antonio Coelho'!H6:H24,A86,'PROD - Marco Antonio Coelho'!D6:D24)+SUMIF('PROD - Marcos Marcelo Delgado'!H6:H24,A86,'PROD - Marcos Marcelo Delgado'!D6:D24)+SUMIF('PROD - Miguel Fernando Almeida'!H6:H24,A86,'PROD - Miguel Fernando Almeida'!D6:D24)+SUMIF('PROD - Nilson Ferreira Silva'!H6:H24,A86,'PROD - Nilson Ferreira Silva'!D6:D24)+SUMIF('PROD - Renato Jose Silva'!H6:H24,A86,'PROD - Renato Jose Silva'!D6:D24)+SUMIF('PROD - Rodolfo Azevedo Andrade'!H6:H24,A86,'PROD - Rodolfo Azevedo Andrade'!D6:D24)</f>
        <v/>
      </c>
    </row>
    <row r="87" ht="15" customHeight="1" s="163">
      <c r="A87" s="211">
        <f>MOTIVO!A16</f>
        <v/>
      </c>
      <c r="B87" s="195">
        <f>IF(MOTIVO!B16="","",MOTIVO!B16)</f>
        <v/>
      </c>
      <c r="C87" s="206">
        <f>SUMIF('PROD - Ana C. C. R. Souza'!H6:H24,A87,'PROD - Ana C. C. R. Souza'!D6:D24)+SUMIF('PROD - Anderson Mello Quimas'!H6:H24,A87,'PROD - Anderson Mello Quimas'!D6:D24)+SUMIF('PROD - Armando Jose Silva'!H6:H24,A87,'PROD - Armando Jose Silva'!D6:D24)+SUMIF('PROD - Arnaldo Silva'!H6:H24,A87,'PROD - Arnaldo Silva'!D6:D24)+SUMIF('PROD - Claudeni R. Xavier'!H6:H24,A87,'PROD - Claudeni R. Xavier'!D6:D24)+SUMIF('PROD - Edson Jose Silva'!H6:H24,A87,'PROD - Edson Jose Silva'!D6:D24)+SUMIF('PROD - Gabriel Adriano Souza'!H6:H24,A87,'PROD - Gabriel Adriano Souza'!D6:D24)+SUMIF('PROD - Gustavo Mello Rodrigues'!H6:H24,A87,'PROD - Gustavo Mello Rodrigues'!D6:D24)+SUMIF('PROD - Joaquim Sergio Lage'!H6:H24,A87,'PROD - Joaquim Sergio Lage'!D6:D24)+SUMIF('PROD - Jorge G. P. Diniz'!H6:H24,A87,'PROD - Jorge G. P. Diniz'!D6:D24)+SUMIF('PROD - Jose G. S. Mello'!H6:H24,A87,'PROD - Jose G. S. Mello'!D6:D24)+SUMIF('PROD - Jose Rodrigues Melo'!H6:H24,A87,'PROD - Jose Rodrigues Melo'!D6:D24)+SUMIF('PROD - Lucio Mauro Felix Silva'!H6:H24,A87,'PROD - Lucio Mauro Felix Silva'!D6:D24)+SUMIF('PROD - Luiz A. O. Pinto'!H6:H24,A87,'PROD - Luiz A. O. Pinto'!D6:D24)+SUMIF('PROD - Marcelo Marcos Delgado'!H6:H24,A87,'PROD - Marcelo Marcos Delgado'!D6:D24)+SUMIF('PROD - Marcio Azevedo Souza'!H6:H24,A87,'PROD - Marcio Azevedo Souza'!D6:D24)+SUMIF('PROD - Marco Antonio Coelho'!H6:H24,A87,'PROD - Marco Antonio Coelho'!D6:D24)+SUMIF('PROD - Marcos Marcelo Delgado'!H6:H24,A87,'PROD - Marcos Marcelo Delgado'!D6:D24)+SUMIF('PROD - Miguel Fernando Almeida'!H6:H24,A87,'PROD - Miguel Fernando Almeida'!D6:D24)+SUMIF('PROD - Nilson Ferreira Silva'!H6:H24,A87,'PROD - Nilson Ferreira Silva'!D6:D24)+SUMIF('PROD - Renato Jose Silva'!H6:H24,A87,'PROD - Renato Jose Silva'!D6:D24)+SUMIF('PROD - Rodolfo Azevedo Andrade'!H6:H24,A87,'PROD - Rodolfo Azevedo Andrade'!D6:D24)</f>
        <v/>
      </c>
    </row>
    <row r="88" ht="15" customHeight="1" s="163">
      <c r="A88" s="211">
        <f>MOTIVO!A17</f>
        <v/>
      </c>
      <c r="B88" s="195">
        <f>IF(MOTIVO!B17="","",MOTIVO!B17)</f>
        <v/>
      </c>
      <c r="C88" s="206">
        <f>SUMIF('PROD - Ana C. C. R. Souza'!H6:H24,A88,'PROD - Ana C. C. R. Souza'!D6:D24)+SUMIF('PROD - Anderson Mello Quimas'!H6:H24,A88,'PROD - Anderson Mello Quimas'!D6:D24)+SUMIF('PROD - Armando Jose Silva'!H6:H24,A88,'PROD - Armando Jose Silva'!D6:D24)+SUMIF('PROD - Arnaldo Silva'!H6:H24,A88,'PROD - Arnaldo Silva'!D6:D24)+SUMIF('PROD - Claudeni R. Xavier'!H6:H24,A88,'PROD - Claudeni R. Xavier'!D6:D24)+SUMIF('PROD - Edson Jose Silva'!H6:H24,A88,'PROD - Edson Jose Silva'!D6:D24)+SUMIF('PROD - Gabriel Adriano Souza'!H6:H24,A88,'PROD - Gabriel Adriano Souza'!D6:D24)+SUMIF('PROD - Gustavo Mello Rodrigues'!H6:H24,A88,'PROD - Gustavo Mello Rodrigues'!D6:D24)+SUMIF('PROD - Joaquim Sergio Lage'!H6:H24,A88,'PROD - Joaquim Sergio Lage'!D6:D24)+SUMIF('PROD - Jorge G. P. Diniz'!H6:H24,A88,'PROD - Jorge G. P. Diniz'!D6:D24)+SUMIF('PROD - Jose G. S. Mello'!H6:H24,A88,'PROD - Jose G. S. Mello'!D6:D24)+SUMIF('PROD - Jose Rodrigues Melo'!H6:H24,A88,'PROD - Jose Rodrigues Melo'!D6:D24)+SUMIF('PROD - Lucio Mauro Felix Silva'!H6:H24,A88,'PROD - Lucio Mauro Felix Silva'!D6:D24)+SUMIF('PROD - Luiz A. O. Pinto'!H6:H24,A88,'PROD - Luiz A. O. Pinto'!D6:D24)+SUMIF('PROD - Marcelo Marcos Delgado'!H6:H24,A88,'PROD - Marcelo Marcos Delgado'!D6:D24)+SUMIF('PROD - Marcio Azevedo Souza'!H6:H24,A88,'PROD - Marcio Azevedo Souza'!D6:D24)+SUMIF('PROD - Marco Antonio Coelho'!H6:H24,A88,'PROD - Marco Antonio Coelho'!D6:D24)+SUMIF('PROD - Marcos Marcelo Delgado'!H6:H24,A88,'PROD - Marcos Marcelo Delgado'!D6:D24)+SUMIF('PROD - Miguel Fernando Almeida'!H6:H24,A88,'PROD - Miguel Fernando Almeida'!D6:D24)+SUMIF('PROD - Nilson Ferreira Silva'!H6:H24,A88,'PROD - Nilson Ferreira Silva'!D6:D24)+SUMIF('PROD - Renato Jose Silva'!H6:H24,A88,'PROD - Renato Jose Silva'!D6:D24)+SUMIF('PROD - Rodolfo Azevedo Andrade'!H6:H24,A88,'PROD - Rodolfo Azevedo Andrade'!D6:D24)</f>
        <v/>
      </c>
    </row>
    <row r="89" ht="15" customHeight="1" s="163">
      <c r="A89" s="211">
        <f>MOTIVO!A18</f>
        <v/>
      </c>
      <c r="B89" s="195">
        <f>IF(MOTIVO!B18="","",MOTIVO!B18)</f>
        <v/>
      </c>
      <c r="C89" s="206">
        <f>SUMIF('PROD - Ana C. C. R. Souza'!H6:H24,A89,'PROD - Ana C. C. R. Souza'!D6:D24)+SUMIF('PROD - Anderson Mello Quimas'!H6:H24,A89,'PROD - Anderson Mello Quimas'!D6:D24)+SUMIF('PROD - Armando Jose Silva'!H6:H24,A89,'PROD - Armando Jose Silva'!D6:D24)+SUMIF('PROD - Arnaldo Silva'!H6:H24,A89,'PROD - Arnaldo Silva'!D6:D24)+SUMIF('PROD - Claudeni R. Xavier'!H6:H24,A89,'PROD - Claudeni R. Xavier'!D6:D24)+SUMIF('PROD - Edson Jose Silva'!H6:H24,A89,'PROD - Edson Jose Silva'!D6:D24)+SUMIF('PROD - Gabriel Adriano Souza'!H6:H24,A89,'PROD - Gabriel Adriano Souza'!D6:D24)+SUMIF('PROD - Gustavo Mello Rodrigues'!H6:H24,A89,'PROD - Gustavo Mello Rodrigues'!D6:D24)+SUMIF('PROD - Joaquim Sergio Lage'!H6:H24,A89,'PROD - Joaquim Sergio Lage'!D6:D24)+SUMIF('PROD - Jorge G. P. Diniz'!H6:H24,A89,'PROD - Jorge G. P. Diniz'!D6:D24)+SUMIF('PROD - Jose G. S. Mello'!H6:H24,A89,'PROD - Jose G. S. Mello'!D6:D24)+SUMIF('PROD - Jose Rodrigues Melo'!H6:H24,A89,'PROD - Jose Rodrigues Melo'!D6:D24)+SUMIF('PROD - Lucio Mauro Felix Silva'!H6:H24,A89,'PROD - Lucio Mauro Felix Silva'!D6:D24)+SUMIF('PROD - Luiz A. O. Pinto'!H6:H24,A89,'PROD - Luiz A. O. Pinto'!D6:D24)+SUMIF('PROD - Marcelo Marcos Delgado'!H6:H24,A89,'PROD - Marcelo Marcos Delgado'!D6:D24)+SUMIF('PROD - Marcio Azevedo Souza'!H6:H24,A89,'PROD - Marcio Azevedo Souza'!D6:D24)+SUMIF('PROD - Marco Antonio Coelho'!H6:H24,A89,'PROD - Marco Antonio Coelho'!D6:D24)+SUMIF('PROD - Marcos Marcelo Delgado'!H6:H24,A89,'PROD - Marcos Marcelo Delgado'!D6:D24)+SUMIF('PROD - Miguel Fernando Almeida'!H6:H24,A89,'PROD - Miguel Fernando Almeida'!D6:D24)+SUMIF('PROD - Nilson Ferreira Silva'!H6:H24,A89,'PROD - Nilson Ferreira Silva'!D6:D24)+SUMIF('PROD - Renato Jose Silva'!H6:H24,A89,'PROD - Renato Jose Silva'!D6:D24)+SUMIF('PROD - Rodolfo Azevedo Andrade'!H6:H24,A89,'PROD - Rodolfo Azevedo Andrade'!D6:D24)</f>
        <v/>
      </c>
    </row>
    <row r="90" ht="15" customHeight="1" s="163">
      <c r="A90" s="211">
        <f>MOTIVO!A19</f>
        <v/>
      </c>
      <c r="B90" s="195">
        <f>IF(MOTIVO!B19="","",MOTIVO!B19)</f>
        <v/>
      </c>
      <c r="C90" s="206">
        <f>SUMIF('PROD - Ana C. C. R. Souza'!H6:H24,A90,'PROD - Ana C. C. R. Souza'!D6:D24)+SUMIF('PROD - Anderson Mello Quimas'!H6:H24,A90,'PROD - Anderson Mello Quimas'!D6:D24)+SUMIF('PROD - Armando Jose Silva'!H6:H24,A90,'PROD - Armando Jose Silva'!D6:D24)+SUMIF('PROD - Arnaldo Silva'!H6:H24,A90,'PROD - Arnaldo Silva'!D6:D24)+SUMIF('PROD - Claudeni R. Xavier'!H6:H24,A90,'PROD - Claudeni R. Xavier'!D6:D24)+SUMIF('PROD - Edson Jose Silva'!H6:H24,A90,'PROD - Edson Jose Silva'!D6:D24)+SUMIF('PROD - Gabriel Adriano Souza'!H6:H24,A90,'PROD - Gabriel Adriano Souza'!D6:D24)+SUMIF('PROD - Gustavo Mello Rodrigues'!H6:H24,A90,'PROD - Gustavo Mello Rodrigues'!D6:D24)+SUMIF('PROD - Joaquim Sergio Lage'!H6:H24,A90,'PROD - Joaquim Sergio Lage'!D6:D24)+SUMIF('PROD - Jorge G. P. Diniz'!H6:H24,A90,'PROD - Jorge G. P. Diniz'!D6:D24)+SUMIF('PROD - Jose G. S. Mello'!H6:H24,A90,'PROD - Jose G. S. Mello'!D6:D24)+SUMIF('PROD - Jose Rodrigues Melo'!H6:H24,A90,'PROD - Jose Rodrigues Melo'!D6:D24)+SUMIF('PROD - Lucio Mauro Felix Silva'!H6:H24,A90,'PROD - Lucio Mauro Felix Silva'!D6:D24)+SUMIF('PROD - Luiz A. O. Pinto'!H6:H24,A90,'PROD - Luiz A. O. Pinto'!D6:D24)+SUMIF('PROD - Marcelo Marcos Delgado'!H6:H24,A90,'PROD - Marcelo Marcos Delgado'!D6:D24)+SUMIF('PROD - Marcio Azevedo Souza'!H6:H24,A90,'PROD - Marcio Azevedo Souza'!D6:D24)+SUMIF('PROD - Marco Antonio Coelho'!H6:H24,A90,'PROD - Marco Antonio Coelho'!D6:D24)+SUMIF('PROD - Marcos Marcelo Delgado'!H6:H24,A90,'PROD - Marcos Marcelo Delgado'!D6:D24)+SUMIF('PROD - Miguel Fernando Almeida'!H6:H24,A90,'PROD - Miguel Fernando Almeida'!D6:D24)+SUMIF('PROD - Nilson Ferreira Silva'!H6:H24,A90,'PROD - Nilson Ferreira Silva'!D6:D24)+SUMIF('PROD - Renato Jose Silva'!H6:H24,A90,'PROD - Renato Jose Silva'!D6:D24)+SUMIF('PROD - Rodolfo Azevedo Andrade'!H6:H24,A90,'PROD - Rodolfo Azevedo Andrade'!D6:D24)</f>
        <v/>
      </c>
    </row>
    <row r="91" ht="15" customHeight="1" s="163">
      <c r="A91" s="211">
        <f>MOTIVO!A20</f>
        <v/>
      </c>
      <c r="B91" s="195">
        <f>IF(MOTIVO!B20="","",MOTIVO!B20)</f>
        <v/>
      </c>
      <c r="C91" s="206">
        <f>SUMIF('PROD - Ana C. C. R. Souza'!H6:H24,A91,'PROD - Ana C. C. R. Souza'!D6:D24)+SUMIF('PROD - Anderson Mello Quimas'!H6:H24,A91,'PROD - Anderson Mello Quimas'!D6:D24)+SUMIF('PROD - Armando Jose Silva'!H6:H24,A91,'PROD - Armando Jose Silva'!D6:D24)+SUMIF('PROD - Arnaldo Silva'!H6:H24,A91,'PROD - Arnaldo Silva'!D6:D24)+SUMIF('PROD - Claudeni R. Xavier'!H6:H24,A91,'PROD - Claudeni R. Xavier'!D6:D24)+SUMIF('PROD - Edson Jose Silva'!H6:H24,A91,'PROD - Edson Jose Silva'!D6:D24)+SUMIF('PROD - Gabriel Adriano Souza'!H6:H24,A91,'PROD - Gabriel Adriano Souza'!D6:D24)+SUMIF('PROD - Gustavo Mello Rodrigues'!H6:H24,A91,'PROD - Gustavo Mello Rodrigues'!D6:D24)+SUMIF('PROD - Joaquim Sergio Lage'!H6:H24,A91,'PROD - Joaquim Sergio Lage'!D6:D24)+SUMIF('PROD - Jorge G. P. Diniz'!H6:H24,A91,'PROD - Jorge G. P. Diniz'!D6:D24)+SUMIF('PROD - Jose G. S. Mello'!H6:H24,A91,'PROD - Jose G. S. Mello'!D6:D24)+SUMIF('PROD - Jose Rodrigues Melo'!H6:H24,A91,'PROD - Jose Rodrigues Melo'!D6:D24)+SUMIF('PROD - Lucio Mauro Felix Silva'!H6:H24,A91,'PROD - Lucio Mauro Felix Silva'!D6:D24)+SUMIF('PROD - Luiz A. O. Pinto'!H6:H24,A91,'PROD - Luiz A. O. Pinto'!D6:D24)+SUMIF('PROD - Marcelo Marcos Delgado'!H6:H24,A91,'PROD - Marcelo Marcos Delgado'!D6:D24)+SUMIF('PROD - Marcio Azevedo Souza'!H6:H24,A91,'PROD - Marcio Azevedo Souza'!D6:D24)+SUMIF('PROD - Marco Antonio Coelho'!H6:H24,A91,'PROD - Marco Antonio Coelho'!D6:D24)+SUMIF('PROD - Marcos Marcelo Delgado'!H6:H24,A91,'PROD - Marcos Marcelo Delgado'!D6:D24)+SUMIF('PROD - Miguel Fernando Almeida'!H6:H24,A91,'PROD - Miguel Fernando Almeida'!D6:D24)+SUMIF('PROD - Nilson Ferreira Silva'!H6:H24,A91,'PROD - Nilson Ferreira Silva'!D6:D24)+SUMIF('PROD - Renato Jose Silva'!H6:H24,A91,'PROD - Renato Jose Silva'!D6:D24)+SUMIF('PROD - Rodolfo Azevedo Andrade'!H6:H24,A91,'PROD - Rodolfo Azevedo Andrade'!D6:D24)</f>
        <v/>
      </c>
    </row>
    <row r="92" ht="15" customHeight="1" s="163">
      <c r="A92" s="211">
        <f>MOTIVO!A21</f>
        <v/>
      </c>
      <c r="B92" s="195">
        <f>IF(MOTIVO!B21="","",MOTIVO!B21)</f>
        <v/>
      </c>
      <c r="C92" s="206">
        <f>SUMIF('PROD - Ana C. C. R. Souza'!H6:H24,A92,'PROD - Ana C. C. R. Souza'!D6:D24)+SUMIF('PROD - Anderson Mello Quimas'!H6:H24,A92,'PROD - Anderson Mello Quimas'!D6:D24)+SUMIF('PROD - Armando Jose Silva'!H6:H24,A92,'PROD - Armando Jose Silva'!D6:D24)+SUMIF('PROD - Arnaldo Silva'!H6:H24,A92,'PROD - Arnaldo Silva'!D6:D24)+SUMIF('PROD - Claudeni R. Xavier'!H6:H24,A92,'PROD - Claudeni R. Xavier'!D6:D24)+SUMIF('PROD - Edson Jose Silva'!H6:H24,A92,'PROD - Edson Jose Silva'!D6:D24)+SUMIF('PROD - Gabriel Adriano Souza'!H6:H24,A92,'PROD - Gabriel Adriano Souza'!D6:D24)+SUMIF('PROD - Gustavo Mello Rodrigues'!H6:H24,A92,'PROD - Gustavo Mello Rodrigues'!D6:D24)+SUMIF('PROD - Joaquim Sergio Lage'!H6:H24,A92,'PROD - Joaquim Sergio Lage'!D6:D24)+SUMIF('PROD - Jorge G. P. Diniz'!H6:H24,A92,'PROD - Jorge G. P. Diniz'!D6:D24)+SUMIF('PROD - Jose G. S. Mello'!H6:H24,A92,'PROD - Jose G. S. Mello'!D6:D24)+SUMIF('PROD - Jose Rodrigues Melo'!H6:H24,A92,'PROD - Jose Rodrigues Melo'!D6:D24)+SUMIF('PROD - Lucio Mauro Felix Silva'!H6:H24,A92,'PROD - Lucio Mauro Felix Silva'!D6:D24)+SUMIF('PROD - Luiz A. O. Pinto'!H6:H24,A92,'PROD - Luiz A. O. Pinto'!D6:D24)+SUMIF('PROD - Marcelo Marcos Delgado'!H6:H24,A92,'PROD - Marcelo Marcos Delgado'!D6:D24)+SUMIF('PROD - Marcio Azevedo Souza'!H6:H24,A92,'PROD - Marcio Azevedo Souza'!D6:D24)+SUMIF('PROD - Marco Antonio Coelho'!H6:H24,A92,'PROD - Marco Antonio Coelho'!D6:D24)+SUMIF('PROD - Marcos Marcelo Delgado'!H6:H24,A92,'PROD - Marcos Marcelo Delgado'!D6:D24)+SUMIF('PROD - Miguel Fernando Almeida'!H6:H24,A92,'PROD - Miguel Fernando Almeida'!D6:D24)+SUMIF('PROD - Nilson Ferreira Silva'!H6:H24,A92,'PROD - Nilson Ferreira Silva'!D6:D24)+SUMIF('PROD - Renato Jose Silva'!H6:H24,A92,'PROD - Renato Jose Silva'!D6:D24)+SUMIF('PROD - Rodolfo Azevedo Andrade'!H6:H24,A92,'PROD - Rodolfo Azevedo Andrade'!D6:D24)</f>
        <v/>
      </c>
    </row>
    <row r="93" ht="15" customHeight="1" s="163">
      <c r="A93" s="211">
        <f>MOTIVO!A22</f>
        <v/>
      </c>
      <c r="B93" s="195">
        <f>IF(MOTIVO!B22="","",MOTIVO!B22)</f>
        <v/>
      </c>
      <c r="C93" s="206">
        <f>SUMIF('PROD - Ana C. C. R. Souza'!H6:H24,A93,'PROD - Ana C. C. R. Souza'!D6:D24)+SUMIF('PROD - Anderson Mello Quimas'!H6:H24,A93,'PROD - Anderson Mello Quimas'!D6:D24)+SUMIF('PROD - Armando Jose Silva'!H6:H24,A93,'PROD - Armando Jose Silva'!D6:D24)+SUMIF('PROD - Arnaldo Silva'!H6:H24,A93,'PROD - Arnaldo Silva'!D6:D24)+SUMIF('PROD - Claudeni R. Xavier'!H6:H24,A93,'PROD - Claudeni R. Xavier'!D6:D24)+SUMIF('PROD - Edson Jose Silva'!H6:H24,A93,'PROD - Edson Jose Silva'!D6:D24)+SUMIF('PROD - Gabriel Adriano Souza'!H6:H24,A93,'PROD - Gabriel Adriano Souza'!D6:D24)+SUMIF('PROD - Gustavo Mello Rodrigues'!H6:H24,A93,'PROD - Gustavo Mello Rodrigues'!D6:D24)+SUMIF('PROD - Joaquim Sergio Lage'!H6:H24,A93,'PROD - Joaquim Sergio Lage'!D6:D24)+SUMIF('PROD - Jorge G. P. Diniz'!H6:H24,A93,'PROD - Jorge G. P. Diniz'!D6:D24)+SUMIF('PROD - Jose G. S. Mello'!H6:H24,A93,'PROD - Jose G. S. Mello'!D6:D24)+SUMIF('PROD - Jose Rodrigues Melo'!H6:H24,A93,'PROD - Jose Rodrigues Melo'!D6:D24)+SUMIF('PROD - Lucio Mauro Felix Silva'!H6:H24,A93,'PROD - Lucio Mauro Felix Silva'!D6:D24)+SUMIF('PROD - Luiz A. O. Pinto'!H6:H24,A93,'PROD - Luiz A. O. Pinto'!D6:D24)+SUMIF('PROD - Marcelo Marcos Delgado'!H6:H24,A93,'PROD - Marcelo Marcos Delgado'!D6:D24)+SUMIF('PROD - Marcio Azevedo Souza'!H6:H24,A93,'PROD - Marcio Azevedo Souza'!D6:D24)+SUMIF('PROD - Marco Antonio Coelho'!H6:H24,A93,'PROD - Marco Antonio Coelho'!D6:D24)+SUMIF('PROD - Marcos Marcelo Delgado'!H6:H24,A93,'PROD - Marcos Marcelo Delgado'!D6:D24)+SUMIF('PROD - Miguel Fernando Almeida'!H6:H24,A93,'PROD - Miguel Fernando Almeida'!D6:D24)+SUMIF('PROD - Nilson Ferreira Silva'!H6:H24,A93,'PROD - Nilson Ferreira Silva'!D6:D24)+SUMIF('PROD - Renato Jose Silva'!H6:H24,A93,'PROD - Renato Jose Silva'!D6:D24)+SUMIF('PROD - Rodolfo Azevedo Andrade'!H6:H24,A93,'PROD - Rodolfo Azevedo Andrade'!D6:D24)</f>
        <v/>
      </c>
    </row>
    <row r="94" ht="15" customHeight="1" s="163">
      <c r="A94" s="211">
        <f>MOTIVO!A23</f>
        <v/>
      </c>
      <c r="B94" s="195">
        <f>IF(MOTIVO!B23="","",MOTIVO!B23)</f>
        <v/>
      </c>
      <c r="C94" s="206">
        <f>SUMIF('PROD - Ana C. C. R. Souza'!H6:H24,A94,'PROD - Ana C. C. R. Souza'!D6:D24)+SUMIF('PROD - Anderson Mello Quimas'!H6:H24,A94,'PROD - Anderson Mello Quimas'!D6:D24)+SUMIF('PROD - Armando Jose Silva'!H6:H24,A94,'PROD - Armando Jose Silva'!D6:D24)+SUMIF('PROD - Arnaldo Silva'!H6:H24,A94,'PROD - Arnaldo Silva'!D6:D24)+SUMIF('PROD - Claudeni R. Xavier'!H6:H24,A94,'PROD - Claudeni R. Xavier'!D6:D24)+SUMIF('PROD - Edson Jose Silva'!H6:H24,A94,'PROD - Edson Jose Silva'!D6:D24)+SUMIF('PROD - Gabriel Adriano Souza'!H6:H24,A94,'PROD - Gabriel Adriano Souza'!D6:D24)+SUMIF('PROD - Gustavo Mello Rodrigues'!H6:H24,A94,'PROD - Gustavo Mello Rodrigues'!D6:D24)+SUMIF('PROD - Joaquim Sergio Lage'!H6:H24,A94,'PROD - Joaquim Sergio Lage'!D6:D24)+SUMIF('PROD - Jorge G. P. Diniz'!H6:H24,A94,'PROD - Jorge G. P. Diniz'!D6:D24)+SUMIF('PROD - Jose G. S. Mello'!H6:H24,A94,'PROD - Jose G. S. Mello'!D6:D24)+SUMIF('PROD - Jose Rodrigues Melo'!H6:H24,A94,'PROD - Jose Rodrigues Melo'!D6:D24)+SUMIF('PROD - Lucio Mauro Felix Silva'!H6:H24,A94,'PROD - Lucio Mauro Felix Silva'!D6:D24)+SUMIF('PROD - Luiz A. O. Pinto'!H6:H24,A94,'PROD - Luiz A. O. Pinto'!D6:D24)+SUMIF('PROD - Marcelo Marcos Delgado'!H6:H24,A94,'PROD - Marcelo Marcos Delgado'!D6:D24)+SUMIF('PROD - Marcio Azevedo Souza'!H6:H24,A94,'PROD - Marcio Azevedo Souza'!D6:D24)+SUMIF('PROD - Marco Antonio Coelho'!H6:H24,A94,'PROD - Marco Antonio Coelho'!D6:D24)+SUMIF('PROD - Marcos Marcelo Delgado'!H6:H24,A94,'PROD - Marcos Marcelo Delgado'!D6:D24)+SUMIF('PROD - Miguel Fernando Almeida'!H6:H24,A94,'PROD - Miguel Fernando Almeida'!D6:D24)+SUMIF('PROD - Nilson Ferreira Silva'!H6:H24,A94,'PROD - Nilson Ferreira Silva'!D6:D24)+SUMIF('PROD - Renato Jose Silva'!H6:H24,A94,'PROD - Renato Jose Silva'!D6:D24)+SUMIF('PROD - Rodolfo Azevedo Andrade'!H6:H24,A94,'PROD - Rodolfo Azevedo Andrade'!D6:D24)</f>
        <v/>
      </c>
    </row>
    <row r="95" ht="15" customHeight="1" s="163">
      <c r="A95" s="192" t="inlineStr">
        <is>
          <t>TOTAL</t>
        </is>
      </c>
      <c r="C95" s="208">
        <f>SUM(C75:C94)</f>
        <v/>
      </c>
    </row>
    <row r="97" ht="24" customHeight="1" s="163">
      <c r="A97" s="205" t="inlineStr">
        <is>
          <t>💰  RESULTADO FINANCEIRO DA COOPERATIVA</t>
        </is>
      </c>
    </row>
    <row r="98" ht="30" customHeight="1" s="163">
      <c r="A98" s="212" t="inlineStr">
        <is>
          <t>VALOR TOTAL A COBRAR DA PREFEITURA</t>
        </is>
      </c>
      <c r="E98" s="213">
        <f>F24</f>
        <v/>
      </c>
    </row>
    <row r="99" ht="30" customHeight="1" s="163">
      <c r="A99" s="212" t="inlineStr">
        <is>
          <t>VALOR TOTAL A PAGAR AOS PRODUTORES</t>
        </is>
      </c>
      <c r="E99" s="213">
        <f>F47</f>
        <v/>
      </c>
    </row>
    <row r="100" ht="30" customHeight="1" s="163">
      <c r="A100" s="214" t="inlineStr">
        <is>
          <t>MARGEM DA COOPERATIVA</t>
        </is>
      </c>
      <c r="E100" s="215">
        <f>E98-E107</f>
        <v/>
      </c>
    </row>
    <row r="102" ht="15" customHeight="1" s="163">
      <c r="A102" s="216" t="inlineStr">
        <is>
          <t>Itens ainda sem recebimento conferido (em qualquer escola/produto):</t>
        </is>
      </c>
      <c r="E102" s="217">
        <f>'E M ABELARDO DE LAMARE'!Q8+'E M BATAILLARD'!Q8+'E M LEONARDO BOFF'!Q8+'E M CLEMENTE FERNANDES'!Q8+'E M DOM PEDRO DE ALCÂNTARA'!Q8+'E M DUQUE DE CAXIAS'!Q8+'E M LUIZ CARLOS SOARES'!Q8+'ESCOLA MUNICIPAL GENERAL HEITOR'!Q8+'E M JOÃO KOPKE'!Q8+'ESCOLA MUNICIPAL ODETTE FONSECA'!Q8+'E M GOVERNADOR MARCELLO ALENCAR'!Q8+'E M PROF JOAQUIM DEISTER'!Q8+'E M ROBERT KENNEDY'!Q8+'E M ROTARY'!Q8+'E M ROSALINA NICOLAY'!Q8+'E M DE EDUCAÇÃO ESPECIAL SANTOS'!Q8+'E M SOROPTIMISTA'!Q8+'LICEU MUN PREFEITO CORDOLINO AM'!Q8+'E M ANTÔNIO LEITE GARCIA'!Q8+'ESCOLA MUNICIPAL JORGE AMADO'!Q8+'ESCOLA MUNICIPAL LÚCIA DE ALMEI'!Q8+'E M MAGDALENA TAGLIAFERRO'!Q8+'ESCOLA MUNICIPAL MAJOR JÚLIO FR'!Q8+'E M MARIETA GONÇALVES'!Q8+'ESCOLA MUNICIPAL ODETTE YOUNG M'!Q8+'E M FÁBRICA DO SABER'!Q8+'ESCOLA MUNICIPAL PROFESSOR PAUL'!Q8+'E M ROSEMIRA DE OLIVEIRA CAVALC'!Q8+'E M AMÉLIA ANTUNES RABELLO'!Q8+'ESCOLA MUNICIPAL AUGUSTO PUGNAL'!Q8+'ESCOLA MUNICIPAL CELINA SCHECHN'!Q8+'E M DARCY CORREA DA VEIGA'!Q8+'E M DR PAULA BUARQUE'!Q8+'E M DR THEODORO MACHADO'!Q8+'E M ARNALDO DYCKERHOFF'!Q8+'E M CARLOS CANEDO'!Q8+'E M DR BARROS FRANCO'!Q8+'E M MAJOR THEÓFILO DE CARVALHO'!Q8+'E M TAQUARIL'!Q8+'E M BEATRIZ ZALESKI'!Q8+'E M ANTÔNIO JOSÉ DE LIMA'!Q8+'E M FELIX WAN ERVEN DE BARROS'!Q8+'ESCOLA MUNICIPAL HILDEBRANDO DE'!Q8+'E M OSWALDO DA COSTA FRIAS'!Q8+'E MZDA CARMEM NUNES MARTINS'!Q8+'E MZDA AVELINO DE CARVALHO'!Q8+'E M GERALDO VENTURA DIAS'!Q8+'E M SALVADOR KLING'!Q8+'E M PREFEITO JAMIL SABRÁ'!Q8+'LICEU MUNICIPAL CARLOS CHAGAS F'!Q8+'ESCOLA MUNICIPAL ANA MOHAMMAD'!Q8+'ESCOLA MUNICIPAL ALTO INDEPENDÊ'!Q8+'E M ALMIRANTE TAMANDARÉ'!Q8+'ESCOLA MUNICIPALIZADA FREI ANIC'!Q8+'E M PEDRO AMADO'!Q8+'E M PROFª MARIA DA GLÓRIA QUEIR'!Q8+'E M SEBASTIÃO LACERDA'!Q8+'E M PROFESSOR FLÁVIO MACIEL'!Q8+'ESCOLA MUNICIPAL PAULO SALDANHA'!Q8+'ESCOLA MUNICIPAL PROFESSOR JOSE'!Q8+'E M MONSENHOR CIRILLO CALAON'!Q8+'E M AMÉRICO FERNANDES RIBEIRO'!Q8+'E M PROFª JANDIRA PEIXOTO BORDI'!Q8+'E M MONSENHOR JOÃO DE DEUS RODR'!Q8+'E M DOM MANOEL PEDRO DA CUNHA C'!Q8+'E M JOHANN NOEL'!Q8+'E MZDA SANTA TEREZINHA'!Q8+'E M PAPA JOÃO PAULO II'!Q8+'E M STEFAN ZWEIG'!Q8+'ESCOLA MUNICIPAL SENADOR MARIO '!Q8+'E M DR RUBENS DE CASTRO BOMTEMP'!Q8+'E M PAULO FREIRE'!Q8+'E M PROFª MARIA CAMPOS DA SILVA'!Q8+'E M HERCÍLIA HENRIQUES MORET'!Q8+'ESCOLA MUNICIPALIZADA MOYSÉS FU'!Q8+'CIEP BRIZOLÃO 474 MAESTRO GUERR'!Q8+'CENTRO DE ENSINO PROF DARCY RIB'!Q8+'CASA DA EDUCAÇÃO VISCONDE DE MA'!Q8+'CENTRO DE REFERÊNCIA EM EDUCAÇÃ'!Q8+'E M PROF NILTON COSTA PEREIRA D'!Q8+'COLÉGIO GUNNAR VINGREN DE PETRÓ'!Q8+'CENTRO DE REFERÊNCIA EM EDUC 2'!Q8+'ESCOLA SANTA LUIZA DE MARILLAC'!Q8+'CENTRO EDUCACIONAL COMUNIDADE S'!Q8+'EDUCANDÁRIO TERRA SANTA'!Q8+'ESCOLA GERMANO VALENTE'!Q8+'ESCOLA DAS COMUNIDADES SANTO AN'!Q8+'ESCOLA DOMÉSTICA NOSSA SENHORA '!Q8+'ESCOLA PAROQUIAL NOSSA SENHO 3'!Q8+'ESCOLA MONSENHOR GENTIL'!Q8+'ESCOLA PAROQUIAL BOM JESUS'!Q8+'ESCOLA PAROQUIAL CARLOS DEMIÁ'!Q8+'ESCOLA PAROQUIAL NOSSA SENHO 2'!Q8+'ESCOLA PAROQUIAL NOSSA SENHORA '!Q8+'ESCOLA PAROQUIAL SÃO PEDRO DE A'!Q8+'ESCOLA SANTA MARIA GORETTI'!Q8+'ESCOLA SANTA RITA DE CASSIA'!Q8+'ESCOLA SÃO CRISTÓVÃO'!Q8+'ESCOLA PAROQUIAL SÃO FRANCISCO '!Q8+'ESCOLA SAO FRANCISCO DE ASSIS'!Q8+'ESCOLA SÃO JOÃO BATISTA'!Q8+'ESCOLA SÃO JUDAS TADEU'!Q8+'ESCOLA PAROQUIAL SÃO PIO X'!Q8+'COLÉGIO ANGLICANO DE ARARAS'!Q8+'COLEGIO VICENTINO PADRE CORRÊA'!Q8+'ESCOLA NOSSA SENHORA DE FÁTIMA'!Q8+'ESCOLA PAROQUIAL DA ALCOBAÇA'!Q8+'ESCOLA PAROQUIAL DO LOTEAMENTO '!Q8+'ESCOLA PAROQUIAL SANTA BERNADET'!Q8+'ESCOLA SÃO GERALDO'!Q8+'ESCOLA SANTO ANTÔNIO'!Q8+'LICEU SÃO JOSÉ DE ITAIPAVA'!Q8+'ESCOLA SÃO JOSÉ DO CAETITU'!Q8+'CEI ASSOCIAÇÃO BENEFICENTE FAZE'!Q8+'CEI CASA DA SOLIDARIEDADE DE NO'!Q8+'CEI LULU MONTEIRO DE CASTRO'!Q8+'CEI SÃO JOÃO BATISTA'!Q8+'CEI SÃO FRANCISCO ASSIS'!Q8+'CEI A SEMENTEIRA'!Q8+'CEI FREI LEÃO'!Q8+'CEI ROMANO CANAVESE'!Q8+'CEI ANDRÉ VANZAN'!Q8+'CEI CRIANÇA SANTA EDWIGES'!Q8+'CENTRO DE EDUCAÇÃO INFANTIL IRM'!Q8+'CEI PEDRAS BRANCAS'!Q8+'CEI INÊS BELARMINO DE SOUZA'!Q8+'CEI PROFª ROSANGELA DA SILVA LE'!Q8+'CEI VILA SAO JOSE'!Q8+'CEI MARIA THEREZA KLING DO VALL'!Q8+'CEI DEISE ELOY GOMES'!Q8+'CENTRO PAROQUIAL DE EDUCAÇÃO IN'!Q8+'CEI VISTA ALEGRE'!Q8+'CEI ALDEIA DA CRIANCA'!Q8+'CEI DÉA LÚCIA CORDEIRO'!Q8+'CENTRO DE EDUCAÇÃO INFANTIL CAR'!Q8+'CEI IRMÃ SILVANA'!Q8+'CEI MARLI SOARES FERREIRA NETTO'!Q8+'CEI PROFª SONIA REGINA SCUDESE '!Q8+'CEI DONA ESPERANZA DE BOURBON D'!Q8+'CEI PREFEITO SÉRGIO FADEL'!Q8+'CEI ANDRÉ REBOUÇAS'!Q8+'CENTRO DE EDUCAÇÃO INFANTIL CHI'!Q8+'CEI TIA ALICE'!Q8+'CEI TERRA SANTA'!Q8+'CEI JORGE ROLANDO DA SILVA'!Q8+'CEI CARANGOLA'!Q8+'CEI CÉLIA LÔBO PAULO'!Q8+'CEI LIONS CLUBE DE PETRÓPOLIS'!Q8+'CEI PROFª GRAÇA COSTA'!Q8+'CEI ANGELA MARIA DA CONCEIÇÃO S'!Q8+'CEI LUIZ MARCHIORI'!Q8+'CEI PROFª MARLUCE DE SOUZA PEST'!Q8+'CEI OLÍVIA MACHADO DA COSTA NOG'!Q8+'CEI VILA IPANEMA'!Q8+'CEI VILA LEOPOLDINA'!Q8+'CENTRO DE EDUCAÇÃO INFANTIL CAS'!Q8+'CEI PRIMEIRA INFÂNCIA'!Q8+'CEI PROFª DORA KILLER'!Q8+'CEI PROFª PATRÍCIA FERREIRA E S'!Q8+'CEI DRA ZILDA ARNS NEUMANN'!Q8+'CEI DENISE BESSA DE OLIVA MAYA'!Q8+'CEI GIUSEPPE-NEVA VOLONTERIO'!Q8+'CENTRO DE EDUCAÇÃO INFANTIL LOT'!Q8+'CEI IRINEU MARINHO'!Q8+'CEI OSWALDO CRUZ'!Q8+'CEI ANA CAROLINA TELLES'!Q8+'CEI JOSÉ GONÇALVES DA MOTTA'!Q8+'CEI SAGRADA FAMÍLIA'!Q8+'CEI PROFª HERMÍNIA MATHEUS'!Q8+'CENTRO DE EDUCAÇÃO INFANTIL PRO'!Q8+'CEI MONSENHOR PAULO ELIAS DAHER'!Q8+'CEI DAGMAR ROLANDO DE OLIVEIRA'!Q8+'CENTRO DE EDUCAÇÃO INFANTIL  2'!Q8+'CEI BOA VISTA'!Q8+'CEI NILO PEÇANHA'!Q8+'CENTRO DE EDUCAÇÃO INFANTIL AUG'!Q8+'CEI THEREZINHA DE JESUS LIMA'!Q8+'CEI VIDEIRINHA'!Q8+'CEI PROFª ADRIANA CONSTÂNCIO TR'!Q8+'CENTRO DE EDUCAÇÃO INFANTIL SÉR'!Q8+'CEI JURACI PINTO DO AMARAL DE C'!Q8+'CEI NOSSA SENHORA DA GLÓRIA'!Q8+'CEI ALTO INDEPENDÊNCIA'!Q8+'CEI SÃO JOSÉ DAS OBLATAS DE NAZ'!Q8+'CEI SANTO ANTÔNIO AGOSTINHO'!Q8+'CEI SÃO CHARBEL'!Q8+'ASSOCIAÇÃO DA CRECHE SÃO FRANCI'!Q8+'CEI SÃO JOSÉ DO ITAMARATI'!Q8+'ASSOCIAÇÃO RECREAR'!Q8+'CRECHE-ESCOLA CASTELO SÃO MANOE'!Q8+'CENTRO DE EDUCAÇÃO INFANTIL SÃO'!Q8</f>
        <v/>
      </c>
    </row>
    <row r="103" ht="15" customHeight="1" s="163">
      <c r="A103" s="218">
        <f>IF(AND(E110=0,E102=0,E104=0,E105=0,E108=0,E109=0,E111=0,E112=0),"🆕 INÍCIO DE SEMANA — nenhum pedido lançado ainda.",IF(OR(E104&gt;0,E105&gt;0),"❌ Há INCONSISTÊNCIAS (fichas ou complementos) — corrija antes de considerar os valores. Valor NÃO é confiável.",IF(OR(E102&gt;0,E108&gt;0),"⚠ CONFERÊNCIA PENDENTE — ainda há recebimentos ou complementos sem confirmar. Valor a cobrar é PROVISÓRIO.",IF(E109&gt;0,"🟡 Valor a cobrar CONFIRMADO — mas há "&amp;E109&amp;" falta(s) sem decisão (Resolvida/Encerrada). A semana NÃO pode ser fechada ainda.","✔ Tudo conferido e todas as faltas decididas — semana pronta para fechar."))))</f>
        <v/>
      </c>
    </row>
    <row r="104" ht="15" customHeight="1" s="163">
      <c r="A104" s="216" t="inlineStr">
        <is>
          <t>Itens com inconsistência (rejeitado maior que o recebido):</t>
        </is>
      </c>
      <c r="E104" s="219">
        <f>'E M ABELARDO DE LAMARE'!R8+'E M BATAILLARD'!R8+'E M LEONARDO BOFF'!R8+'E M CLEMENTE FERNANDES'!R8+'E M DOM PEDRO DE ALCÂNTARA'!R8+'E M DUQUE DE CAXIAS'!R8+'E M LUIZ CARLOS SOARES'!R8+'ESCOLA MUNICIPAL GENERAL HEITOR'!R8+'E M JOÃO KOPKE'!R8+'ESCOLA MUNICIPAL ODETTE FONSECA'!R8+'E M GOVERNADOR MARCELLO ALENCAR'!R8+'E M PROF JOAQUIM DEISTER'!R8+'E M ROBERT KENNEDY'!R8+'E M ROTARY'!R8+'E M ROSALINA NICOLAY'!R8+'E M DE EDUCAÇÃO ESPECIAL SANTOS'!R8+'E M SOROPTIMISTA'!R8+'LICEU MUN PREFEITO CORDOLINO AM'!R8+'E M ANTÔNIO LEITE GARCIA'!R8+'ESCOLA MUNICIPAL JORGE AMADO'!R8+'ESCOLA MUNICIPAL LÚCIA DE ALMEI'!R8+'E M MAGDALENA TAGLIAFERRO'!R8+'ESCOLA MUNICIPAL MAJOR JÚLIO FR'!R8+'E M MARIETA GONÇALVES'!R8+'ESCOLA MUNICIPAL ODETTE YOUNG M'!R8+'E M FÁBRICA DO SABER'!R8+'ESCOLA MUNICIPAL PROFESSOR PAUL'!R8+'E M ROSEMIRA DE OLIVEIRA CAVALC'!R8+'E M AMÉLIA ANTUNES RABELLO'!R8+'ESCOLA MUNICIPAL AUGUSTO PUGNAL'!R8+'ESCOLA MUNICIPAL CELINA SCHECHN'!R8+'E M DARCY CORREA DA VEIGA'!R8+'E M DR PAULA BUARQUE'!R8+'E M DR THEODORO MACHADO'!R8+'E M ARNALDO DYCKERHOFF'!R8+'E M CARLOS CANEDO'!R8+'E M DR BARROS FRANCO'!R8+'E M MAJOR THEÓFILO DE CARVALHO'!R8+'E M TAQUARIL'!R8+'E M BEATRIZ ZALESKI'!R8+'E M ANTÔNIO JOSÉ DE LIMA'!R8+'E M FELIX WAN ERVEN DE BARROS'!R8+'ESCOLA MUNICIPAL HILDEBRANDO DE'!R8+'E M OSWALDO DA COSTA FRIAS'!R8+'E MZDA CARMEM NUNES MARTINS'!R8+'E MZDA AVELINO DE CARVALHO'!R8+'E M GERALDO VENTURA DIAS'!R8+'E M SALVADOR KLING'!R8+'E M PREFEITO JAMIL SABRÁ'!R8+'LICEU MUNICIPAL CARLOS CHAGAS F'!R8+'ESCOLA MUNICIPAL ANA MOHAMMAD'!R8+'ESCOLA MUNICIPAL ALTO INDEPENDÊ'!R8+'E M ALMIRANTE TAMANDARÉ'!R8+'ESCOLA MUNICIPALIZADA FREI ANIC'!R8+'E M PEDRO AMADO'!R8+'E M PROFª MARIA DA GLÓRIA QUEIR'!R8+'E M SEBASTIÃO LACERDA'!R8+'E M PROFESSOR FLÁVIO MACIEL'!R8+'ESCOLA MUNICIPAL PAULO SALDANHA'!R8+'ESCOLA MUNICIPAL PROFESSOR JOSE'!R8+'E M MONSENHOR CIRILLO CALAON'!R8+'E M AMÉRICO FERNANDES RIBEIRO'!R8+'E M PROFª JANDIRA PEIXOTO BORDI'!R8+'E M MONSENHOR JOÃO DE DEUS RODR'!R8+'E M DOM MANOEL PEDRO DA CUNHA C'!R8+'E M JOHANN NOEL'!R8+'E MZDA SANTA TEREZINHA'!R8+'E M PAPA JOÃO PAULO II'!R8+'E M STEFAN ZWEIG'!R8+'ESCOLA MUNICIPAL SENADOR MARIO '!R8+'E M DR RUBENS DE CASTRO BOMTEMP'!R8+'E M PAULO FREIRE'!R8+'E M PROFª MARIA CAMPOS DA SILVA'!R8+'E M HERCÍLIA HENRIQUES MORET'!R8+'ESCOLA MUNICIPALIZADA MOYSÉS FU'!R8+'CIEP BRIZOLÃO 474 MAESTRO GUERR'!R8+'CENTRO DE ENSINO PROF DARCY RIB'!R8+'CASA DA EDUCAÇÃO VISCONDE DE MA'!R8+'CENTRO DE REFERÊNCIA EM EDUCAÇÃ'!R8+'E M PROF NILTON COSTA PEREIRA D'!R8+'COLÉGIO GUNNAR VINGREN DE PETRÓ'!R8+'CENTRO DE REFERÊNCIA EM EDUC 2'!R8+'ESCOLA SANTA LUIZA DE MARILLAC'!R8+'CENTRO EDUCACIONAL COMUNIDADE S'!R8+'EDUCANDÁRIO TERRA SANTA'!R8+'ESCOLA GERMANO VALENTE'!R8+'ESCOLA DAS COMUNIDADES SANTO AN'!R8+'ESCOLA DOMÉSTICA NOSSA SENHORA '!R8+'ESCOLA PAROQUIAL NOSSA SENHO 3'!R8+'ESCOLA MONSENHOR GENTIL'!R8+'ESCOLA PAROQUIAL BOM JESUS'!R8+'ESCOLA PAROQUIAL CARLOS DEMIÁ'!R8+'ESCOLA PAROQUIAL NOSSA SENHO 2'!R8+'ESCOLA PAROQUIAL NOSSA SENHORA '!R8+'ESCOLA PAROQUIAL SÃO PEDRO DE A'!R8+'ESCOLA SANTA MARIA GORETTI'!R8+'ESCOLA SANTA RITA DE CASSIA'!R8+'ESCOLA SÃO CRISTÓVÃO'!R8+'ESCOLA PAROQUIAL SÃO FRANCISCO '!R8+'ESCOLA SAO FRANCISCO DE ASSIS'!R8+'ESCOLA SÃO JOÃO BATISTA'!R8+'ESCOLA SÃO JUDAS TADEU'!R8+'ESCOLA PAROQUIAL SÃO PIO X'!R8+'COLÉGIO ANGLICANO DE ARARAS'!R8+'COLEGIO VICENTINO PADRE CORRÊA'!R8+'ESCOLA NOSSA SENHORA DE FÁTIMA'!R8+'ESCOLA PAROQUIAL DA ALCOBAÇA'!R8+'ESCOLA PAROQUIAL DO LOTEAMENTO '!R8+'ESCOLA PAROQUIAL SANTA BERNADET'!R8+'ESCOLA SÃO GERALDO'!R8+'ESCOLA SANTO ANTÔNIO'!R8+'LICEU SÃO JOSÉ DE ITAIPAVA'!R8+'ESCOLA SÃO JOSÉ DO CAETITU'!R8+'CEI ASSOCIAÇÃO BENEFICENTE FAZE'!R8+'CEI CASA DA SOLIDARIEDADE DE NO'!R8+'CEI LULU MONTEIRO DE CASTRO'!R8+'CEI SÃO JOÃO BATISTA'!R8+'CEI SÃO FRANCISCO ASSIS'!R8+'CEI A SEMENTEIRA'!R8+'CEI FREI LEÃO'!R8+'CEI ROMANO CANAVESE'!R8+'CEI ANDRÉ VANZAN'!R8+'CEI CRIANÇA SANTA EDWIGES'!R8+'CENTRO DE EDUCAÇÃO INFANTIL IRM'!R8+'CEI PEDRAS BRANCAS'!R8+'CEI INÊS BELARMINO DE SOUZA'!R8+'CEI PROFª ROSANGELA DA SILVA LE'!R8+'CEI VILA SAO JOSE'!R8+'CEI MARIA THEREZA KLING DO VALL'!R8+'CEI DEISE ELOY GOMES'!R8+'CENTRO PAROQUIAL DE EDUCAÇÃO IN'!R8+'CEI VISTA ALEGRE'!R8+'CEI ALDEIA DA CRIANCA'!R8+'CEI DÉA LÚCIA CORDEIRO'!R8+'CENTRO DE EDUCAÇÃO INFANTIL CAR'!R8+'CEI IRMÃ SILVANA'!R8+'CEI MARLI SOARES FERREIRA NETTO'!R8+'CEI PROFª SONIA REGINA SCUDESE '!R8+'CEI DONA ESPERANZA DE BOURBON D'!R8+'CEI PREFEITO SÉRGIO FADEL'!R8+'CEI ANDRÉ REBOUÇAS'!R8+'CENTRO DE EDUCAÇÃO INFANTIL CHI'!R8+'CEI TIA ALICE'!R8+'CEI TERRA SANTA'!R8+'CEI JORGE ROLANDO DA SILVA'!R8+'CEI CARANGOLA'!R8+'CEI CÉLIA LÔBO PAULO'!R8+'CEI LIONS CLUBE DE PETRÓPOLIS'!R8+'CEI PROFª GRAÇA COSTA'!R8+'CEI ANGELA MARIA DA CONCEIÇÃO S'!R8+'CEI LUIZ MARCHIORI'!R8+'CEI PROFª MARLUCE DE SOUZA PEST'!R8+'CEI OLÍVIA MACHADO DA COSTA NOG'!R8+'CEI VILA IPANEMA'!R8+'CEI VILA LEOPOLDINA'!R8+'CENTRO DE EDUCAÇÃO INFANTIL CAS'!R8+'CEI PRIMEIRA INFÂNCIA'!R8+'CEI PROFª DORA KILLER'!R8+'CEI PROFª PATRÍCIA FERREIRA E S'!R8+'CEI DRA ZILDA ARNS NEUMANN'!R8+'CEI DENISE BESSA DE OLIVA MAYA'!R8+'CEI GIUSEPPE-NEVA VOLONTERIO'!R8+'CENTRO DE EDUCAÇÃO INFANTIL LOT'!R8+'CEI IRINEU MARINHO'!R8+'CEI OSWALDO CRUZ'!R8+'CEI ANA CAROLINA TELLES'!R8+'CEI JOSÉ GONÇALVES DA MOTTA'!R8+'CEI SAGRADA FAMÍLIA'!R8+'CEI PROFª HERMÍNIA MATHEUS'!R8+'CENTRO DE EDUCAÇÃO INFANTIL PRO'!R8+'CEI MONSENHOR PAULO ELIAS DAHER'!R8+'CEI DAGMAR ROLANDO DE OLIVEIRA'!R8+'CENTRO DE EDUCAÇÃO INFANTIL  2'!R8+'CEI BOA VISTA'!R8+'CEI NILO PEÇANHA'!R8+'CENTRO DE EDUCAÇÃO INFANTIL AUG'!R8+'CEI THEREZINHA DE JESUS LIMA'!R8+'CEI VIDEIRINHA'!R8+'CEI PROFª ADRIANA CONSTÂNCIO TR'!R8+'CENTRO DE EDUCAÇÃO INFANTIL SÉR'!R8+'CEI JURACI PINTO DO AMARAL DE C'!R8+'CEI NOSSA SENHORA DA GLÓRIA'!R8+'CEI ALTO INDEPENDÊNCIA'!R8+'CEI SÃO JOSÉ DAS OBLATAS DE NAZ'!R8+'CEI SANTO ANTÔNIO AGOSTINHO'!R8+'CEI SÃO CHARBEL'!R8+'ASSOCIAÇÃO DA CRECHE SÃO FRANCI'!R8+'CEI SÃO JOSÉ DO ITAMARATI'!R8+'ASSOCIAÇÃO RECREAR'!R8+'CRECHE-ESCOLA CASTELO SÃO MANOE'!R8+'CENTRO DE EDUCAÇÃO INFANTIL SÃO'!R8</f>
        <v/>
      </c>
    </row>
    <row r="105" ht="15" customHeight="1" s="163">
      <c r="A105" s="216" t="inlineStr">
        <is>
          <t>Complementos com ERRO ou ALERTA de dados (conferir na aba Complementos):</t>
        </is>
      </c>
      <c r="E105" s="219">
        <f>SUMPRODUCT(--(LEFT(COMPLEMENTOS!$J$7:$J$56,1)="❌"))+SUMPRODUCT(--(LEFT(COMPLEMENTOS!$K$60:$K$559,1)="❌"))</f>
        <v/>
      </c>
    </row>
    <row r="106" ht="15" customHeight="1" s="163">
      <c r="A106" s="216" t="inlineStr">
        <is>
          <t>Dos quais, só complementos (informativo — já contado no total acima):</t>
        </is>
      </c>
      <c r="E106" s="220">
        <f>SUM(COMPLEMENTOS!$I$7:$I$56)</f>
        <v/>
      </c>
    </row>
    <row r="107" ht="15" customHeight="1" s="163">
      <c r="A107" s="221" t="inlineStr">
        <is>
          <t>TOTAL A PAGAR AOS PRODUTORES (já inclui originais e complementos)</t>
        </is>
      </c>
      <c r="E107" s="222">
        <f>E99</f>
        <v/>
      </c>
    </row>
    <row r="108">
      <c r="A108" s="321" t="inlineStr">
        <is>
          <t>Complementos aguardando conferência na escola (normal, ainda não é erro):</t>
        </is>
      </c>
      <c r="E108" s="322">
        <f>SUMPRODUCT(--(LEFT(COMPLEMENTOS!$J$7:$J$56,1)="⏳"))+SUMPRODUCT(--(LEFT(COMPLEMENTOS!$K$60:$K$559,1)="⚠"))</f>
        <v/>
      </c>
    </row>
    <row r="109">
      <c r="A109" s="321" t="inlineStr">
        <is>
          <t>Faltas SEM decisão (Resolvida/Encerrada) — impedem fechar a semana:</t>
        </is>
      </c>
      <c r="E109" s="322">
        <f>'E M ABELARDO DE LAMARE'!S8+'E M BATAILLARD'!S8+'E M LEONARDO BOFF'!S8+'E M CLEMENTE FERNANDES'!S8+'E M DOM PEDRO DE ALCÂNTARA'!S8+'E M DUQUE DE CAXIAS'!S8+'E M LUIZ CARLOS SOARES'!S8+'ESCOLA MUNICIPAL GENERAL HEITOR'!S8+'E M JOÃO KOPKE'!S8+'ESCOLA MUNICIPAL ODETTE FONSECA'!S8+'E M GOVERNADOR MARCELLO ALENCAR'!S8+'E M PROF JOAQUIM DEISTER'!S8+'E M ROBERT KENNEDY'!S8+'E M ROTARY'!S8+'E M ROSALINA NICOLAY'!S8+'E M DE EDUCAÇÃO ESPECIAL SANTOS'!S8+'E M SOROPTIMISTA'!S8+'LICEU MUN PREFEITO CORDOLINO AM'!S8+'E M ANTÔNIO LEITE GARCIA'!S8+'ESCOLA MUNICIPAL JORGE AMADO'!S8+'ESCOLA MUNICIPAL LÚCIA DE ALMEI'!S8+'E M MAGDALENA TAGLIAFERRO'!S8+'ESCOLA MUNICIPAL MAJOR JÚLIO FR'!S8+'E M MARIETA GONÇALVES'!S8+'ESCOLA MUNICIPAL ODETTE YOUNG M'!S8+'E M FÁBRICA DO SABER'!S8+'ESCOLA MUNICIPAL PROFESSOR PAUL'!S8+'E M ROSEMIRA DE OLIVEIRA CAVALC'!S8+'E M AMÉLIA ANTUNES RABELLO'!S8+'ESCOLA MUNICIPAL AUGUSTO PUGNAL'!S8+'ESCOLA MUNICIPAL CELINA SCHECHN'!S8+'E M DARCY CORREA DA VEIGA'!S8+'E M DR PAULA BUARQUE'!S8+'E M DR THEODORO MACHADO'!S8+'E M ARNALDO DYCKERHOFF'!S8+'E M CARLOS CANEDO'!S8+'E M DR BARROS FRANCO'!S8+'E M MAJOR THEÓFILO DE CARVALHO'!S8+'E M TAQUARIL'!S8+'E M BEATRIZ ZALESKI'!S8+'E M ANTÔNIO JOSÉ DE LIMA'!S8+'E M FELIX WAN ERVEN DE BARROS'!S8+'ESCOLA MUNICIPAL HILDEBRANDO DE'!S8+'E M OSWALDO DA COSTA FRIAS'!S8+'E MZDA CARMEM NUNES MARTINS'!S8+'E MZDA AVELINO DE CARVALHO'!S8+'E M GERALDO VENTURA DIAS'!S8+'E M SALVADOR KLING'!S8+'E M PREFEITO JAMIL SABRÁ'!S8+'LICEU MUNICIPAL CARLOS CHAGAS F'!S8+'ESCOLA MUNICIPAL ANA MOHAMMAD'!S8+'ESCOLA MUNICIPAL ALTO INDEPENDÊ'!S8+'E M ALMIRANTE TAMANDARÉ'!S8+'ESCOLA MUNICIPALIZADA FREI ANIC'!S8+'E M PEDRO AMADO'!S8+'E M PROFª MARIA DA GLÓRIA QUEIR'!S8+'E M SEBASTIÃO LACERDA'!S8+'E M PROFESSOR FLÁVIO MACIEL'!S8+'ESCOLA MUNICIPAL PAULO SALDANHA'!S8+'ESCOLA MUNICIPAL PROFESSOR JOSE'!S8+'E M MONSENHOR CIRILLO CALAON'!S8+'E M AMÉRICO FERNANDES RIBEIRO'!S8+'E M PROFª JANDIRA PEIXOTO BORDI'!S8+'E M MONSENHOR JOÃO DE DEUS RODR'!S8+'E M DOM MANOEL PEDRO DA CUNHA C'!S8+'E M JOHANN NOEL'!S8+'E MZDA SANTA TEREZINHA'!S8+'E M PAPA JOÃO PAULO II'!S8+'E M STEFAN ZWEIG'!S8+'ESCOLA MUNICIPAL SENADOR MARIO '!S8+'E M DR RUBENS DE CASTRO BOMTEMP'!S8+'E M PAULO FREIRE'!S8+'E M PROFª MARIA CAMPOS DA SILVA'!S8+'E M HERCÍLIA HENRIQUES MORET'!S8+'ESCOLA MUNICIPALIZADA MOYSÉS FU'!S8+'CIEP BRIZOLÃO 474 MAESTRO GUERR'!S8+'CENTRO DE ENSINO PROF DARCY RIB'!S8+'CASA DA EDUCAÇÃO VISCONDE DE MA'!S8+'CENTRO DE REFERÊNCIA EM EDUCAÇÃ'!S8+'E M PROF NILTON COSTA PEREIRA D'!S8+'COLÉGIO GUNNAR VINGREN DE PETRÓ'!S8+'CENTRO DE REFERÊNCIA EM EDUC 2'!S8+'ESCOLA SANTA LUIZA DE MARILLAC'!S8+'CENTRO EDUCACIONAL COMUNIDADE S'!S8+'EDUCANDÁRIO TERRA SANTA'!S8+'ESCOLA GERMANO VALENTE'!S8+'ESCOLA DAS COMUNIDADES SANTO AN'!S8+'ESCOLA DOMÉSTICA NOSSA SENHORA '!S8+'ESCOLA PAROQUIAL NOSSA SENHO 3'!S8+'ESCOLA MONSENHOR GENTIL'!S8+'ESCOLA PAROQUIAL BOM JESUS'!S8+'ESCOLA PAROQUIAL CARLOS DEMIÁ'!S8+'ESCOLA PAROQUIAL NOSSA SENHO 2'!S8+'ESCOLA PAROQUIAL NOSSA SENHORA '!S8+'ESCOLA PAROQUIAL SÃO PEDRO DE A'!S8+'ESCOLA SANTA MARIA GORETTI'!S8+'ESCOLA SANTA RITA DE CASSIA'!S8+'ESCOLA SÃO CRISTÓVÃO'!S8+'ESCOLA PAROQUIAL SÃO FRANCISCO '!S8+'ESCOLA SAO FRANCISCO DE ASSIS'!S8+'ESCOLA SÃO JOÃO BATISTA'!S8+'ESCOLA SÃO JUDAS TADEU'!S8+'ESCOLA PAROQUIAL SÃO PIO X'!S8+'COLÉGIO ANGLICANO DE ARARAS'!S8+'COLEGIO VICENTINO PADRE CORRÊA'!S8+'ESCOLA NOSSA SENHORA DE FÁTIMA'!S8+'ESCOLA PAROQUIAL DA ALCOBAÇA'!S8+'ESCOLA PAROQUIAL DO LOTEAMENTO '!S8+'ESCOLA PAROQUIAL SANTA BERNADET'!S8+'ESCOLA SÃO GERALDO'!S8+'ESCOLA SANTO ANTÔNIO'!S8+'LICEU SÃO JOSÉ DE ITAIPAVA'!S8+'ESCOLA SÃO JOSÉ DO CAETITU'!S8+'CEI ASSOCIAÇÃO BENEFICENTE FAZE'!S8+'CEI CASA DA SOLIDARIEDADE DE NO'!S8+'CEI LULU MONTEIRO DE CASTRO'!S8+'CEI SÃO JOÃO BATISTA'!S8+'CEI SÃO FRANCISCO ASSIS'!S8+'CEI A SEMENTEIRA'!S8+'CEI FREI LEÃO'!S8+'CEI ROMANO CANAVESE'!S8+'CEI ANDRÉ VANZAN'!S8+'CEI CRIANÇA SANTA EDWIGES'!S8+'CENTRO DE EDUCAÇÃO INFANTIL IRM'!S8+'CEI PEDRAS BRANCAS'!S8+'CEI INÊS BELARMINO DE SOUZA'!S8+'CEI PROFª ROSANGELA DA SILVA LE'!S8+'CEI VILA SAO JOSE'!S8+'CEI MARIA THEREZA KLING DO VALL'!S8+'CEI DEISE ELOY GOMES'!S8+'CENTRO PAROQUIAL DE EDUCAÇÃO IN'!S8+'CEI VISTA ALEGRE'!S8+'CEI ALDEIA DA CRIANCA'!S8+'CEI DÉA LÚCIA CORDEIRO'!S8+'CENTRO DE EDUCAÇÃO INFANTIL CAR'!S8+'CEI IRMÃ SILVANA'!S8+'CEI MARLI SOARES FERREIRA NETTO'!S8+'CEI PROFª SONIA REGINA SCUDESE '!S8+'CEI DONA ESPERANZA DE BOURBON D'!S8+'CEI PREFEITO SÉRGIO FADEL'!S8+'CEI ANDRÉ REBOUÇAS'!S8+'CENTRO DE EDUCAÇÃO INFANTIL CHI'!S8+'CEI TIA ALICE'!S8+'CEI TERRA SANTA'!S8+'CEI JORGE ROLANDO DA SILVA'!S8+'CEI CARANGOLA'!S8+'CEI CÉLIA LÔBO PAULO'!S8+'CEI LIONS CLUBE DE PETRÓPOLIS'!S8+'CEI PROFª GRAÇA COSTA'!S8+'CEI ANGELA MARIA DA CONCEIÇÃO S'!S8+'CEI LUIZ MARCHIORI'!S8+'CEI PROFª MARLUCE DE SOUZA PEST'!S8+'CEI OLÍVIA MACHADO DA COSTA NOG'!S8+'CEI VILA IPANEMA'!S8+'CEI VILA LEOPOLDINA'!S8+'CENTRO DE EDUCAÇÃO INFANTIL CAS'!S8+'CEI PRIMEIRA INFÂNCIA'!S8+'CEI PROFª DORA KILLER'!S8+'CEI PROFª PATRÍCIA FERREIRA E S'!S8+'CEI DRA ZILDA ARNS NEUMANN'!S8+'CEI DENISE BESSA DE OLIVA MAYA'!S8+'CEI GIUSEPPE-NEVA VOLONTERIO'!S8+'CENTRO DE EDUCAÇÃO INFANTIL LOT'!S8+'CEI IRINEU MARINHO'!S8+'CEI OSWALDO CRUZ'!S8+'CEI ANA CAROLINA TELLES'!S8+'CEI JOSÉ GONÇALVES DA MOTTA'!S8+'CEI SAGRADA FAMÍLIA'!S8+'CEI PROFª HERMÍNIA MATHEUS'!S8+'CENTRO DE EDUCAÇÃO INFANTIL PRO'!S8+'CEI MONSENHOR PAULO ELIAS DAHER'!S8+'CEI DAGMAR ROLANDO DE OLIVEIRA'!S8+'CENTRO DE EDUCAÇÃO INFANTIL  2'!S8+'CEI BOA VISTA'!S8+'CEI NILO PEÇANHA'!S8+'CENTRO DE EDUCAÇÃO INFANTIL AUG'!S8+'CEI THEREZINHA DE JESUS LIMA'!S8+'CEI VIDEIRINHA'!S8+'CEI PROFª ADRIANA CONSTÂNCIO TR'!S8+'CENTRO DE EDUCAÇÃO INFANTIL SÉR'!S8+'CEI JURACI PINTO DO AMARAL DE C'!S8+'CEI NOSSA SENHORA DA GLÓRIA'!S8+'CEI ALTO INDEPENDÊNCIA'!S8+'CEI SÃO JOSÉ DAS OBLATAS DE NAZ'!S8+'CEI SANTO ANTÔNIO AGOSTINHO'!S8+'CEI SÃO CHARBEL'!S8+'ASSOCIAÇÃO DA CRECHE SÃO FRANCI'!S8+'CEI SÃO JOSÉ DO ITAMARATI'!S8+'ASSOCIAÇÃO RECREAR'!S8+'CRECHE-ESCOLA CASTELO SÃO MANOE'!S8+'CENTRO DE EDUCAÇÃO INFANTIL SÃO'!S8</f>
        <v/>
      </c>
    </row>
    <row r="110">
      <c r="A110" s="327" t="inlineStr">
        <is>
          <t>Pedido total lançado (kg/dz, todas escolas e produtos):</t>
        </is>
      </c>
      <c r="E110" s="328">
        <f>SUM('Entrada de Dados'!C197:U197)</f>
        <v/>
      </c>
    </row>
    <row r="111">
      <c r="A111" s="327" t="inlineStr">
        <is>
          <t>Recebimentos/rejeições já lançados nas escolas (mesmo sem pedido):</t>
        </is>
      </c>
      <c r="E111" s="328">
        <f>'E M ABELARDO DE LAMARE'!Q8+'E M BATAILLARD'!Q8+'E M LEONARDO BOFF'!Q8+'E M CLEMENTE FERNANDES'!Q8+'E M DOM PEDRO DE ALCÂNTARA'!Q8+'E M DUQUE DE CAXIAS'!Q8+'E M LUIZ CARLOS SOARES'!Q8+'ESCOLA MUNICIPAL GENERAL HEITOR'!Q8+'E M JOÃO KOPKE'!Q8+'ESCOLA MUNICIPAL ODETTE FONSECA'!Q8+'E M GOVERNADOR MARCELLO ALENCAR'!Q8+'E M PROF JOAQUIM DEISTER'!Q8+'E M ROBERT KENNEDY'!Q8+'E M ROTARY'!Q8+'E M ROSALINA NICOLAY'!Q8+'E M DE EDUCAÇÃO ESPECIAL SANTOS'!Q8+'E M SOROPTIMISTA'!Q8+'LICEU MUN PREFEITO CORDOLINO AM'!Q8+'E M ANTÔNIO LEITE GARCIA'!Q8+'ESCOLA MUNICIPAL JORGE AMADO'!Q8+'ESCOLA MUNICIPAL LÚCIA DE ALMEI'!Q8+'E M MAGDALENA TAGLIAFERRO'!Q8+'ESCOLA MUNICIPAL MAJOR JÚLIO FR'!Q8+'E M MARIETA GONÇALVES'!Q8+'ESCOLA MUNICIPAL ODETTE YOUNG M'!Q8+'E M FÁBRICA DO SABER'!Q8+'ESCOLA MUNICIPAL PROFESSOR PAUL'!Q8+'E M ROSEMIRA DE OLIVEIRA CAVALC'!Q8+'E M AMÉLIA ANTUNES RABELLO'!Q8+'ESCOLA MUNICIPAL AUGUSTO PUGNAL'!Q8+'ESCOLA MUNICIPAL CELINA SCHECHN'!Q8+'E M DARCY CORREA DA VEIGA'!Q8+'E M DR PAULA BUARQUE'!Q8+'E M DR THEODORO MACHADO'!Q8+'E M ARNALDO DYCKERHOFF'!Q8+'E M CARLOS CANEDO'!Q8+'E M DR BARROS FRANCO'!Q8+'E M MAJOR THEÓFILO DE CARVALHO'!Q8+'E M TAQUARIL'!Q8+'E M BEATRIZ ZALESKI'!Q8+'E M ANTÔNIO JOSÉ DE LIMA'!Q8+'E M FELIX WAN ERVEN DE BARROS'!Q8+'ESCOLA MUNICIPAL HILDEBRANDO DE'!Q8+'E M OSWALDO DA COSTA FRIAS'!Q8+'E MZDA CARMEM NUNES MARTINS'!Q8+'E MZDA AVELINO DE CARVALHO'!Q8+'E M GERALDO VENTURA DIAS'!Q8+'E M SALVADOR KLING'!Q8+'E M PREFEITO JAMIL SABRÁ'!Q8+'LICEU MUNICIPAL CARLOS CHAGAS F'!Q8+'ESCOLA MUNICIPAL ANA MOHAMMAD'!Q8+'ESCOLA MUNICIPAL ALTO INDEPENDÊ'!Q8+'E M ALMIRANTE TAMANDARÉ'!Q8+'ESCOLA MUNICIPALIZADA FREI ANIC'!Q8+'E M PEDRO AMADO'!Q8+'E M PROFª MARIA DA GLÓRIA QUEIR'!Q8+'E M SEBASTIÃO LACERDA'!Q8+'E M PROFESSOR FLÁVIO MACIEL'!Q8+'ESCOLA MUNICIPAL PAULO SALDANHA'!Q8+'ESCOLA MUNICIPAL PROFESSOR JOSE'!Q8+'E M MONSENHOR CIRILLO CALAON'!Q8+'E M AMÉRICO FERNANDES RIBEIRO'!Q8+'E M PROFª JANDIRA PEIXOTO BORDI'!Q8+'E M MONSENHOR JOÃO DE DEUS RODR'!Q8+'E M DOM MANOEL PEDRO DA CUNHA C'!Q8+'E M JOHANN NOEL'!Q8+'E MZDA SANTA TEREZINHA'!Q8+'E M PAPA JOÃO PAULO II'!Q8+'E M STEFAN ZWEIG'!Q8+'ESCOLA MUNICIPAL SENADOR MARIO '!Q8+'E M DR RUBENS DE CASTRO BOMTEMP'!Q8+'E M PAULO FREIRE'!Q8+'E M PROFª MARIA CAMPOS DA SILVA'!Q8+'E M HERCÍLIA HENRIQUES MORET'!Q8+'ESCOLA MUNICIPALIZADA MOYSÉS FU'!Q8+'CIEP BRIZOLÃO 474 MAESTRO GUERR'!Q8+'CENTRO DE ENSINO PROF DARCY RIB'!Q8+'CASA DA EDUCAÇÃO VISCONDE DE MA'!Q8+'CENTRO DE REFERÊNCIA EM EDUCAÇÃ'!Q8+'E M PROF NILTON COSTA PEREIRA D'!Q8+'COLÉGIO GUNNAR VINGREN DE PETRÓ'!Q8+'CENTRO DE REFERÊNCIA EM EDUC 2'!Q8+'ESCOLA SANTA LUIZA DE MARILLAC'!Q8+'CENTRO EDUCACIONAL COMUNIDADE S'!Q8+'EDUCANDÁRIO TERRA SANTA'!Q8+'ESCOLA GERMANO VALENTE'!Q8+'ESCOLA DAS COMUNIDADES SANTO AN'!Q8+'ESCOLA DOMÉSTICA NOSSA SENHORA '!Q8+'ESCOLA PAROQUIAL NOSSA SENHO 3'!Q8+'ESCOLA MONSENHOR GENTIL'!Q8+'ESCOLA PAROQUIAL BOM JESUS'!Q8+'ESCOLA PAROQUIAL CARLOS DEMIÁ'!Q8+'ESCOLA PAROQUIAL NOSSA SENHO 2'!Q8+'ESCOLA PAROQUIAL NOSSA SENHORA '!Q8+'ESCOLA PAROQUIAL SÃO PEDRO DE A'!Q8+'ESCOLA SANTA MARIA GORETTI'!Q8+'ESCOLA SANTA RITA DE CASSIA'!Q8+'ESCOLA SÃO CRISTÓVÃO'!Q8+'ESCOLA PAROQUIAL SÃO FRANCISCO '!Q8+'ESCOLA SAO FRANCISCO DE ASSIS'!Q8+'ESCOLA SÃO JOÃO BATISTA'!Q8+'ESCOLA SÃO JUDAS TADEU'!Q8+'ESCOLA PAROQUIAL SÃO PIO X'!Q8+'COLÉGIO ANGLICANO DE ARARAS'!Q8+'COLEGIO VICENTINO PADRE CORRÊA'!Q8+'ESCOLA NOSSA SENHORA DE FÁTIMA'!Q8+'ESCOLA PAROQUIAL DA ALCOBAÇA'!Q8+'ESCOLA PAROQUIAL DO LOTEAMENTO '!Q8+'ESCOLA PAROQUIAL SANTA BERNADET'!Q8+'ESCOLA SÃO GERALDO'!Q8+'ESCOLA SANTO ANTÔNIO'!Q8+'LICEU SÃO JOSÉ DE ITAIPAVA'!Q8+'ESCOLA SÃO JOSÉ DO CAETITU'!Q8+'CEI ASSOCIAÇÃO BENEFICENTE FAZE'!Q8+'CEI CASA DA SOLIDARIEDADE DE NO'!Q8+'CEI LULU MONTEIRO DE CASTRO'!Q8+'CEI SÃO JOÃO BATISTA'!Q8+'CEI SÃO FRANCISCO ASSIS'!Q8+'CEI A SEMENTEIRA'!Q8+'CEI FREI LEÃO'!Q8+'CEI ROMANO CANAVESE'!Q8+'CEI ANDRÉ VANZAN'!Q8+'CEI CRIANÇA SANTA EDWIGES'!Q8+'CENTRO DE EDUCAÇÃO INFANTIL IRM'!Q8+'CEI PEDRAS BRANCAS'!Q8+'CEI INÊS BELARMINO DE SOUZA'!Q8+'CEI PROFª ROSANGELA DA SILVA LE'!Q8+'CEI VILA SAO JOSE'!Q8+'CEI MARIA THEREZA KLING DO VALL'!Q8+'CEI DEISE ELOY GOMES'!Q8+'CENTRO PAROQUIAL DE EDUCAÇÃO IN'!Q8+'CEI VISTA ALEGRE'!Q8+'CEI ALDEIA DA CRIANCA'!Q8+'CEI DÉA LÚCIA CORDEIRO'!Q8+'CENTRO DE EDUCAÇÃO INFANTIL CAR'!Q8+'CEI IRMÃ SILVANA'!Q8+'CEI MARLI SOARES FERREIRA NETTO'!Q8+'CEI PROFª SONIA REGINA SCUDESE '!Q8+'CEI DONA ESPERANZA DE BOURBON D'!Q8+'CEI PREFEITO SÉRGIO FADEL'!Q8+'CEI ANDRÉ REBOUÇAS'!Q8+'CENTRO DE EDUCAÇÃO INFANTIL CHI'!Q8+'CEI TIA ALICE'!Q8+'CEI TERRA SANTA'!Q8+'CEI JORGE ROLANDO DA SILVA'!Q8+'CEI CARANGOLA'!Q8+'CEI CÉLIA LÔBO PAULO'!Q8+'CEI LIONS CLUBE DE PETRÓPOLIS'!Q8+'CEI PROFª GRAÇA COSTA'!Q8+'CEI ANGELA MARIA DA CONCEIÇÃO S'!Q8+'CEI LUIZ MARCHIORI'!Q8+'CEI PROFª MARLUCE DE SOUZA PEST'!Q8+'CEI OLÍVIA MACHADO DA COSTA NOG'!Q8+'CEI VILA IPANEMA'!Q8+'CEI VILA LEOPOLDINA'!Q8+'CENTRO DE EDUCAÇÃO INFANTIL CAS'!Q8+'CEI PRIMEIRA INFÂNCIA'!Q8+'CEI PROFª DORA KILLER'!Q8+'CEI PROFª PATRÍCIA FERREIRA E S'!Q8+'CEI DRA ZILDA ARNS NEUMANN'!Q8+'CEI DENISE BESSA DE OLIVA MAYA'!Q8+'CEI GIUSEPPE-NEVA VOLONTERIO'!Q8+'CENTRO DE EDUCAÇÃO INFANTIL LOT'!Q8+'CEI IRINEU MARINHO'!Q8+'CEI OSWALDO CRUZ'!Q8+'CEI ANA CAROLINA TELLES'!Q8+'CEI JOSÉ GONÇALVES DA MOTTA'!Q8+'CEI SAGRADA FAMÍLIA'!Q8+'CEI PROFª HERMÍNIA MATHEUS'!Q8+'CENTRO DE EDUCAÇÃO INFANTIL PRO'!Q8+'CEI MONSENHOR PAULO ELIAS DAHER'!Q8+'CEI DAGMAR ROLANDO DE OLIVEIRA'!Q8+'CENTRO DE EDUCAÇÃO INFANTIL  2'!Q8+'CEI BOA VISTA'!Q8+'CEI NILO PEÇANHA'!Q8+'CENTRO DE EDUCAÇÃO INFANTIL AUG'!Q8+'CEI THEREZINHA DE JESUS LIMA'!Q8+'CEI VIDEIRINHA'!Q8+'CEI PROFª ADRIANA CONSTÂNCIO TR'!Q8+'CENTRO DE EDUCAÇÃO INFANTIL SÉR'!Q8+'CEI JURACI PINTO DO AMARAL DE C'!Q8+'CEI NOSSA SENHORA DA GLÓRIA'!Q8+'CEI ALTO INDEPENDÊNCIA'!Q8+'CEI SÃO JOSÉ DAS OBLATAS DE NAZ'!Q8+'CEI SANTO ANTÔNIO AGOSTINHO'!Q8+'CEI SÃO CHARBEL'!Q8+'ASSOCIAÇÃO DA CRECHE SÃO FRANCI'!Q8+'CEI SÃO JOSÉ DO ITAMARATI'!Q8+'ASSOCIAÇÃO RECREAR'!Q8+'CRECHE-ESCOLA CASTELO SÃO MANOE'!Q8+'CENTRO DE EDUCAÇÃO INFANTIL SÃO'!Q8</f>
        <v/>
      </c>
    </row>
    <row r="112">
      <c r="A112" s="327" t="inlineStr">
        <is>
          <t>Entrega de produtores ou complementos já lançados (mesmo sem pedido):</t>
        </is>
      </c>
      <c r="E112" s="328">
        <f>IF(OR(E99&gt;0,E106&gt;0),1,0)</f>
        <v/>
      </c>
    </row>
  </sheetData>
  <sheetProtection selectLockedCells="0" selectUnlockedCells="0" sheet="1" objects="0" insertRows="1" insertHyperlinks="1" autoFilter="1" scenarios="0" formatColumns="0" deleteColumns="1" insertColumns="1" pivotTables="1" deleteRows="1" formatCells="0" formatRows="0" sort="0"/>
  <mergeCells count="12">
    <mergeCell ref="A73:F73"/>
    <mergeCell ref="A103:D103"/>
    <mergeCell ref="A49:F49"/>
    <mergeCell ref="E99:F99"/>
    <mergeCell ref="E100:F100"/>
    <mergeCell ref="A3:F3"/>
    <mergeCell ref="A100:D100"/>
    <mergeCell ref="E98:F98"/>
    <mergeCell ref="A97:F97"/>
    <mergeCell ref="A26:F26"/>
    <mergeCell ref="A99:D99"/>
    <mergeCell ref="A98:D98"/>
  </mergeCells>
  <conditionalFormatting sqref="A103">
    <cfRule type="expression" rank="0" priority="2" equalAverage="0" aboveAverage="0" dxfId="2" text="" percent="0" bottom="0">
      <formula>$E$102&gt;0</formula>
    </cfRule>
    <cfRule type="expression" rank="0" priority="3" equalAverage="0" aboveAverage="0" dxfId="2" text="" percent="0" bottom="0">
      <formula>$E$104&gt;0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62" min="1" max="1"/>
    <col width="13" customWidth="1" style="162" min="2" max="3"/>
    <col width="20" customWidth="1" style="162" min="4" max="4"/>
  </cols>
  <sheetData>
    <row r="1" ht="30" customHeight="1" s="163">
      <c r="A1" s="203" t="inlineStr">
        <is>
          <t>BALANÇO FINANCEIRO SEMANAL</t>
        </is>
      </c>
    </row>
    <row r="2" ht="15" customHeight="1" s="163">
      <c r="A2" s="223" t="inlineStr">
        <is>
          <t>Preencha os custos reais da semana abaixo. Ao encerrar o ciclo, salve uma cópia desta planilha (veja instruções no Índice).</t>
        </is>
      </c>
    </row>
    <row r="3" ht="15" customHeight="1" s="163">
      <c r="D3" s="204">
        <f>HYPERLINK("#'ÍNDICE'!A1","◄ Voltar ao Índice")</f>
        <v/>
      </c>
    </row>
    <row r="5" ht="24" customHeight="1" s="163">
      <c r="A5" s="205" t="inlineStr">
        <is>
          <t>1. RESULTADO BRUTO (vem do RESUMO)</t>
        </is>
      </c>
    </row>
    <row r="6" ht="25.5" customHeight="1" s="163">
      <c r="A6" s="212" t="inlineStr">
        <is>
          <t>Valor cobrado da prefeitura</t>
        </is>
      </c>
      <c r="D6" s="213">
        <f>RESUMO!E98</f>
        <v/>
      </c>
    </row>
    <row r="7" ht="25.5" customHeight="1" s="163">
      <c r="A7" s="212" t="inlineStr">
        <is>
          <t>Valor a pagar aos produtores</t>
        </is>
      </c>
      <c r="D7" s="213">
        <f>RESUMO!E107</f>
        <v/>
      </c>
    </row>
    <row r="8" ht="25.5" customHeight="1" s="163">
      <c r="A8" s="214" t="inlineStr">
        <is>
          <t>MARGEM BRUTA (R$ 3,67/kg)</t>
        </is>
      </c>
      <c r="D8" s="224">
        <f>D6-D7</f>
        <v/>
      </c>
    </row>
    <row r="10" ht="24" customHeight="1" s="163">
      <c r="A10" s="205" t="inlineStr">
        <is>
          <t>2. CUSTOS REAIS DA SEMANA (mesmas categorias do estudo original)</t>
        </is>
      </c>
    </row>
    <row r="11" ht="15" customHeight="1" s="163">
      <c r="A11" s="225" t="inlineStr">
        <is>
          <t>Transporte</t>
        </is>
      </c>
      <c r="B11" s="226" t="n"/>
      <c r="C11" s="199" t="n"/>
      <c r="D11" s="227" t="n">
        <v>0</v>
      </c>
    </row>
    <row r="12" ht="15" customHeight="1" s="163">
      <c r="A12" s="225" t="inlineStr">
        <is>
          <t>Montagem</t>
        </is>
      </c>
      <c r="B12" s="226" t="n"/>
      <c r="C12" s="199" t="n"/>
      <c r="D12" s="227" t="n">
        <v>0</v>
      </c>
    </row>
    <row r="13" ht="15" customHeight="1" s="163">
      <c r="A13" s="225" t="inlineStr">
        <is>
          <t>Administrativo</t>
        </is>
      </c>
      <c r="B13" s="226" t="n"/>
      <c r="C13" s="199" t="n"/>
      <c r="D13" s="227" t="n">
        <v>0</v>
      </c>
    </row>
    <row r="14" ht="15" customHeight="1" s="163">
      <c r="A14" s="225" t="inlineStr">
        <is>
          <t>Embalagens + Mat. Limpeza</t>
        </is>
      </c>
      <c r="B14" s="226" t="n"/>
      <c r="C14" s="199" t="n"/>
      <c r="D14" s="227" t="n">
        <v>0</v>
      </c>
    </row>
    <row r="15" ht="15" customHeight="1" s="163">
      <c r="A15" s="225" t="inlineStr">
        <is>
          <t>Material Escritório</t>
        </is>
      </c>
      <c r="B15" s="226" t="n"/>
      <c r="C15" s="199" t="n"/>
      <c r="D15" s="227" t="n">
        <v>0</v>
      </c>
    </row>
    <row r="16" ht="15" customHeight="1" s="163">
      <c r="A16" s="225" t="inlineStr">
        <is>
          <t>Impostos</t>
        </is>
      </c>
      <c r="B16" s="226" t="n"/>
      <c r="C16" s="199" t="n"/>
      <c r="D16" s="227" t="n">
        <v>0</v>
      </c>
    </row>
    <row r="17" ht="15" customHeight="1" s="163">
      <c r="A17" s="225" t="inlineStr">
        <is>
          <t>Serviço de Contabilidade</t>
        </is>
      </c>
      <c r="B17" s="226" t="n"/>
      <c r="C17" s="199" t="n"/>
      <c r="D17" s="227" t="n">
        <v>0</v>
      </c>
    </row>
    <row r="18" ht="15" customHeight="1" s="163">
      <c r="A18" s="225" t="inlineStr">
        <is>
          <t>Ajuda de Custo Conselho</t>
        </is>
      </c>
      <c r="B18" s="226" t="n"/>
      <c r="C18" s="199" t="n"/>
      <c r="D18" s="227" t="n">
        <v>0</v>
      </c>
    </row>
    <row r="19" ht="15" customHeight="1" s="163">
      <c r="A19" s="228" t="inlineStr">
        <is>
          <t>TOTAL DE CUSTOS DA SEMANA</t>
        </is>
      </c>
      <c r="B19" s="226" t="n"/>
      <c r="C19" s="199" t="n"/>
      <c r="D19" s="229">
        <f>SUM(D11:D18)</f>
        <v/>
      </c>
    </row>
    <row r="21" ht="36" customHeight="1" s="163">
      <c r="A21" s="230" t="inlineStr">
        <is>
          <t>SALDO DA SEMANA (Margem bruta − Custos reais)</t>
        </is>
      </c>
      <c r="D21" s="231">
        <f>D8-D19</f>
        <v/>
      </c>
    </row>
    <row r="24" ht="24" customHeight="1" s="163">
      <c r="A24" s="205" t="inlineStr">
        <is>
          <t>3. VALOR A PAGAR A CADA PRODUTOR NESTA SEMANA (conferência)</t>
        </is>
      </c>
    </row>
    <row r="25" ht="15" customHeight="1" s="163">
      <c r="A25" s="232" t="inlineStr">
        <is>
          <t>Produtor</t>
        </is>
      </c>
      <c r="B25" s="233" t="inlineStr">
        <is>
          <t>Original (R$)</t>
        </is>
      </c>
      <c r="C25" s="233" t="inlineStr">
        <is>
          <t>Complemento (R$)</t>
        </is>
      </c>
      <c r="D25" s="234" t="inlineStr">
        <is>
          <t>TOTAL (R$)</t>
        </is>
      </c>
    </row>
    <row r="26" ht="15" customHeight="1" s="163">
      <c r="A26" s="235">
        <f>'PROD - Ana C. C. R. Souza'!B2</f>
        <v/>
      </c>
      <c r="B26" s="236">
        <f>'PROD - Ana C. C. R. Souza'!G25</f>
        <v/>
      </c>
      <c r="C26" s="236">
        <f>SUMIF(COMPLEMENTOS!$C$7:$C$56,A26,COMPLEMENTOS!$I$7:$I$56)</f>
        <v/>
      </c>
      <c r="D26" s="237">
        <f>B26+C26</f>
        <v/>
      </c>
    </row>
    <row r="27" ht="15" customHeight="1" s="163">
      <c r="A27" s="235">
        <f>'PROD - Anderson Mello Quimas'!B2</f>
        <v/>
      </c>
      <c r="B27" s="236">
        <f>'PROD - Anderson Mello Quimas'!G25</f>
        <v/>
      </c>
      <c r="C27" s="236">
        <f>SUMIF(COMPLEMENTOS!$C$7:$C$56,A27,COMPLEMENTOS!$I$7:$I$56)</f>
        <v/>
      </c>
      <c r="D27" s="237">
        <f>B27+C27</f>
        <v/>
      </c>
    </row>
    <row r="28" ht="15" customHeight="1" s="163">
      <c r="A28" s="235">
        <f>'PROD - Armando Jose Silva'!B2</f>
        <v/>
      </c>
      <c r="B28" s="236">
        <f>'PROD - Armando Jose Silva'!G25</f>
        <v/>
      </c>
      <c r="C28" s="236">
        <f>SUMIF(COMPLEMENTOS!$C$7:$C$56,A28,COMPLEMENTOS!$I$7:$I$56)</f>
        <v/>
      </c>
      <c r="D28" s="237">
        <f>B28+C28</f>
        <v/>
      </c>
    </row>
    <row r="29" ht="15" customHeight="1" s="163">
      <c r="A29" s="235">
        <f>'PROD - Arnaldo Silva'!B2</f>
        <v/>
      </c>
      <c r="B29" s="236">
        <f>'PROD - Arnaldo Silva'!G25</f>
        <v/>
      </c>
      <c r="C29" s="236">
        <f>SUMIF(COMPLEMENTOS!$C$7:$C$56,A29,COMPLEMENTOS!$I$7:$I$56)</f>
        <v/>
      </c>
      <c r="D29" s="237">
        <f>B29+C29</f>
        <v/>
      </c>
    </row>
    <row r="30" ht="15" customHeight="1" s="163">
      <c r="A30" s="235">
        <f>'PROD - Claudeni R. Xavier'!B2</f>
        <v/>
      </c>
      <c r="B30" s="236">
        <f>'PROD - Claudeni R. Xavier'!G25</f>
        <v/>
      </c>
      <c r="C30" s="236">
        <f>SUMIF(COMPLEMENTOS!$C$7:$C$56,A30,COMPLEMENTOS!$I$7:$I$56)</f>
        <v/>
      </c>
      <c r="D30" s="237">
        <f>B30+C30</f>
        <v/>
      </c>
    </row>
    <row r="31" ht="15" customHeight="1" s="163">
      <c r="A31" s="235">
        <f>'PROD - Edson Jose Silva'!B2</f>
        <v/>
      </c>
      <c r="B31" s="236">
        <f>'PROD - Edson Jose Silva'!G25</f>
        <v/>
      </c>
      <c r="C31" s="236">
        <f>SUMIF(COMPLEMENTOS!$C$7:$C$56,A31,COMPLEMENTOS!$I$7:$I$56)</f>
        <v/>
      </c>
      <c r="D31" s="237">
        <f>B31+C31</f>
        <v/>
      </c>
    </row>
    <row r="32" ht="15" customHeight="1" s="163">
      <c r="A32" s="235">
        <f>'PROD - Gabriel Adriano Souza'!B2</f>
        <v/>
      </c>
      <c r="B32" s="236">
        <f>'PROD - Gabriel Adriano Souza'!G25</f>
        <v/>
      </c>
      <c r="C32" s="236">
        <f>SUMIF(COMPLEMENTOS!$C$7:$C$56,A32,COMPLEMENTOS!$I$7:$I$56)</f>
        <v/>
      </c>
      <c r="D32" s="237">
        <f>B32+C32</f>
        <v/>
      </c>
    </row>
    <row r="33" ht="15" customHeight="1" s="163">
      <c r="A33" s="235">
        <f>'PROD - Gustavo Mello Rodrigues'!B2</f>
        <v/>
      </c>
      <c r="B33" s="236">
        <f>'PROD - Gustavo Mello Rodrigues'!G25</f>
        <v/>
      </c>
      <c r="C33" s="236">
        <f>SUMIF(COMPLEMENTOS!$C$7:$C$56,A33,COMPLEMENTOS!$I$7:$I$56)</f>
        <v/>
      </c>
      <c r="D33" s="237">
        <f>B33+C33</f>
        <v/>
      </c>
    </row>
    <row r="34" ht="15" customHeight="1" s="163">
      <c r="A34" s="235">
        <f>'PROD - Joaquim Sergio Lage'!B2</f>
        <v/>
      </c>
      <c r="B34" s="236">
        <f>'PROD - Joaquim Sergio Lage'!G25</f>
        <v/>
      </c>
      <c r="C34" s="236">
        <f>SUMIF(COMPLEMENTOS!$C$7:$C$56,A34,COMPLEMENTOS!$I$7:$I$56)</f>
        <v/>
      </c>
      <c r="D34" s="237">
        <f>B34+C34</f>
        <v/>
      </c>
    </row>
    <row r="35" ht="15" customHeight="1" s="163">
      <c r="A35" s="235">
        <f>'PROD - Jorge G. P. Diniz'!B2</f>
        <v/>
      </c>
      <c r="B35" s="236">
        <f>'PROD - Jorge G. P. Diniz'!G25</f>
        <v/>
      </c>
      <c r="C35" s="236">
        <f>SUMIF(COMPLEMENTOS!$C$7:$C$56,A35,COMPLEMENTOS!$I$7:$I$56)</f>
        <v/>
      </c>
      <c r="D35" s="237">
        <f>B35+C35</f>
        <v/>
      </c>
    </row>
    <row r="36" ht="15" customHeight="1" s="163">
      <c r="A36" s="235">
        <f>'PROD - Jose G. S. Mello'!B2</f>
        <v/>
      </c>
      <c r="B36" s="236">
        <f>'PROD - Jose G. S. Mello'!G25</f>
        <v/>
      </c>
      <c r="C36" s="236">
        <f>SUMIF(COMPLEMENTOS!$C$7:$C$56,A36,COMPLEMENTOS!$I$7:$I$56)</f>
        <v/>
      </c>
      <c r="D36" s="237">
        <f>B36+C36</f>
        <v/>
      </c>
    </row>
    <row r="37" ht="15" customHeight="1" s="163">
      <c r="A37" s="235">
        <f>'PROD - Jose Rodrigues Melo'!B2</f>
        <v/>
      </c>
      <c r="B37" s="236">
        <f>'PROD - Jose Rodrigues Melo'!G25</f>
        <v/>
      </c>
      <c r="C37" s="236">
        <f>SUMIF(COMPLEMENTOS!$C$7:$C$56,A37,COMPLEMENTOS!$I$7:$I$56)</f>
        <v/>
      </c>
      <c r="D37" s="237">
        <f>B37+C37</f>
        <v/>
      </c>
    </row>
    <row r="38" ht="15" customHeight="1" s="163">
      <c r="A38" s="235">
        <f>'PROD - Lucio Mauro Felix Silva'!B2</f>
        <v/>
      </c>
      <c r="B38" s="236">
        <f>'PROD - Lucio Mauro Felix Silva'!G25</f>
        <v/>
      </c>
      <c r="C38" s="236">
        <f>SUMIF(COMPLEMENTOS!$C$7:$C$56,A38,COMPLEMENTOS!$I$7:$I$56)</f>
        <v/>
      </c>
      <c r="D38" s="237">
        <f>B38+C38</f>
        <v/>
      </c>
    </row>
    <row r="39" ht="15" customHeight="1" s="163">
      <c r="A39" s="235">
        <f>'PROD - Luiz A. O. Pinto'!B2</f>
        <v/>
      </c>
      <c r="B39" s="236">
        <f>'PROD - Luiz A. O. Pinto'!G25</f>
        <v/>
      </c>
      <c r="C39" s="236">
        <f>SUMIF(COMPLEMENTOS!$C$7:$C$56,A39,COMPLEMENTOS!$I$7:$I$56)</f>
        <v/>
      </c>
      <c r="D39" s="237">
        <f>B39+C39</f>
        <v/>
      </c>
    </row>
    <row r="40" ht="15" customHeight="1" s="163">
      <c r="A40" s="235">
        <f>'PROD - Marcelo Marcos Delgado'!B2</f>
        <v/>
      </c>
      <c r="B40" s="236">
        <f>'PROD - Marcelo Marcos Delgado'!G25</f>
        <v/>
      </c>
      <c r="C40" s="236">
        <f>SUMIF(COMPLEMENTOS!$C$7:$C$56,A40,COMPLEMENTOS!$I$7:$I$56)</f>
        <v/>
      </c>
      <c r="D40" s="237">
        <f>B40+C40</f>
        <v/>
      </c>
    </row>
    <row r="41" ht="15" customHeight="1" s="163">
      <c r="A41" s="235">
        <f>'PROD - Marcio Azevedo Souza'!B2</f>
        <v/>
      </c>
      <c r="B41" s="236">
        <f>'PROD - Marcio Azevedo Souza'!G25</f>
        <v/>
      </c>
      <c r="C41" s="236">
        <f>SUMIF(COMPLEMENTOS!$C$7:$C$56,A41,COMPLEMENTOS!$I$7:$I$56)</f>
        <v/>
      </c>
      <c r="D41" s="237">
        <f>B41+C41</f>
        <v/>
      </c>
    </row>
    <row r="42" ht="15" customHeight="1" s="163">
      <c r="A42" s="235">
        <f>'PROD - Marco Antonio Coelho'!B2</f>
        <v/>
      </c>
      <c r="B42" s="236">
        <f>'PROD - Marco Antonio Coelho'!G25</f>
        <v/>
      </c>
      <c r="C42" s="236">
        <f>SUMIF(COMPLEMENTOS!$C$7:$C$56,A42,COMPLEMENTOS!$I$7:$I$56)</f>
        <v/>
      </c>
      <c r="D42" s="237">
        <f>B42+C42</f>
        <v/>
      </c>
    </row>
    <row r="43" ht="15" customHeight="1" s="163">
      <c r="A43" s="235">
        <f>'PROD - Marcos Marcelo Delgado'!B2</f>
        <v/>
      </c>
      <c r="B43" s="236">
        <f>'PROD - Marcos Marcelo Delgado'!G25</f>
        <v/>
      </c>
      <c r="C43" s="236">
        <f>SUMIF(COMPLEMENTOS!$C$7:$C$56,A43,COMPLEMENTOS!$I$7:$I$56)</f>
        <v/>
      </c>
      <c r="D43" s="237">
        <f>B43+C43</f>
        <v/>
      </c>
    </row>
    <row r="44" ht="15" customHeight="1" s="163">
      <c r="A44" s="235">
        <f>'PROD - Miguel Fernando Almeida'!B2</f>
        <v/>
      </c>
      <c r="B44" s="236">
        <f>'PROD - Miguel Fernando Almeida'!G25</f>
        <v/>
      </c>
      <c r="C44" s="236">
        <f>SUMIF(COMPLEMENTOS!$C$7:$C$56,A44,COMPLEMENTOS!$I$7:$I$56)</f>
        <v/>
      </c>
      <c r="D44" s="237">
        <f>B44+C44</f>
        <v/>
      </c>
    </row>
    <row r="45" ht="15" customHeight="1" s="163">
      <c r="A45" s="235">
        <f>'PROD - Nilson Ferreira Silva'!B2</f>
        <v/>
      </c>
      <c r="B45" s="236">
        <f>'PROD - Nilson Ferreira Silva'!G25</f>
        <v/>
      </c>
      <c r="C45" s="236">
        <f>SUMIF(COMPLEMENTOS!$C$7:$C$56,A45,COMPLEMENTOS!$I$7:$I$56)</f>
        <v/>
      </c>
      <c r="D45" s="237">
        <f>B45+C45</f>
        <v/>
      </c>
    </row>
    <row r="46" ht="15" customHeight="1" s="163">
      <c r="A46" s="235">
        <f>'PROD - Renato Jose Silva'!B2</f>
        <v/>
      </c>
      <c r="B46" s="236">
        <f>'PROD - Renato Jose Silva'!G25</f>
        <v/>
      </c>
      <c r="C46" s="236">
        <f>SUMIF(COMPLEMENTOS!$C$7:$C$56,A46,COMPLEMENTOS!$I$7:$I$56)</f>
        <v/>
      </c>
      <c r="D46" s="237">
        <f>B46+C46</f>
        <v/>
      </c>
    </row>
    <row r="47" ht="15" customHeight="1" s="163">
      <c r="A47" s="235">
        <f>'PROD - Rodolfo Azevedo Andrade'!B2</f>
        <v/>
      </c>
      <c r="B47" s="236">
        <f>'PROD - Rodolfo Azevedo Andrade'!G25</f>
        <v/>
      </c>
      <c r="C47" s="236">
        <f>SUMIF(COMPLEMENTOS!$C$7:$C$56,A47,COMPLEMENTOS!$I$7:$I$56)</f>
        <v/>
      </c>
      <c r="D47" s="237">
        <f>B47+C47</f>
        <v/>
      </c>
    </row>
    <row r="48" ht="15" customHeight="1" s="163">
      <c r="A48" s="228" t="inlineStr">
        <is>
          <t>TOTAL (deve bater com "Valor a pagar aos produtores" acima)</t>
        </is>
      </c>
      <c r="D48" s="229">
        <f>SUM(D26:D47)</f>
        <v/>
      </c>
    </row>
    <row r="50" ht="15" customHeight="1" s="163">
      <c r="A50" s="219" t="inlineStr">
        <is>
          <t>Conferência: total desta tabela bate com o RESUMO?</t>
        </is>
      </c>
      <c r="D50" s="162">
        <f>IF(ABS(D48-RESUMO!E107)&lt;0.01,"✔ Bate certo","❌ NÃO BATE — algum nome de produtor no Complementos não corresponde a nenhum cadastrado. Confira.")</f>
        <v/>
      </c>
    </row>
  </sheetData>
  <mergeCells count="17">
    <mergeCell ref="A5:D5"/>
    <mergeCell ref="A19:C19"/>
    <mergeCell ref="A13:C13"/>
    <mergeCell ref="A11:C11"/>
    <mergeCell ref="A8:C8"/>
    <mergeCell ref="A14:C14"/>
    <mergeCell ref="A6:C6"/>
    <mergeCell ref="A17:C17"/>
    <mergeCell ref="A18:C18"/>
    <mergeCell ref="D50:F50"/>
    <mergeCell ref="A21:C21"/>
    <mergeCell ref="A24:D24"/>
    <mergeCell ref="A10:D10"/>
    <mergeCell ref="A12:C12"/>
    <mergeCell ref="A7:C7"/>
    <mergeCell ref="A16:C16"/>
    <mergeCell ref="A15:C15"/>
  </mergeCells>
  <conditionalFormatting sqref="D21">
    <cfRule type="cellIs" rank="0" priority="2" equalAverage="0" operator="lessThan" aboveAverage="0" dxfId="3" text="" percent="0" bottom="0">
      <formula>0</formula>
    </cfRule>
  </conditionalFormatting>
  <conditionalFormatting sqref="A21:C21">
    <cfRule type="expression" rank="0" priority="3" equalAverage="0" aboveAverage="0" dxfId="4" text="" percent="0" bottom="0">
      <formula>$D$21&lt;0</formula>
    </cfRule>
  </conditionalFormatting>
  <conditionalFormatting sqref="D50">
    <cfRule type="expression" rank="0" priority="4" equalAverage="0" aboveAverage="0" dxfId="5" text="" percent="0" bottom="0">
      <formula>LEFT($D$50,1)="❌"</formula>
    </cfRule>
    <cfRule type="expression" rank="0" priority="5" equalAverage="0" aboveAverage="0" dxfId="6" text="" percent="0" bottom="0">
      <formula>LEFT($D$50,1)="✔"</formula>
    </cfRule>
  </conditionalFormatting>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5.xml><?xml version="1.0" encoding="utf-8"?>
<worksheet xmlns="http://schemas.openxmlformats.org/spreadsheetml/2006/main">
  <sheetPr>
    <outlinePr applyStyles="1" summaryBelow="1" summaryRight="1"/>
    <pageSetUpPr fitToPage="1"/>
  </sheetPr>
  <dimension ref="A1:U559"/>
  <sheetViews>
    <sheetView showGridLines="0" showOutlineSymbols="1" workbookViewId="0">
      <pane ySplit="6" topLeftCell="A7" activePane="bottomLeft" state="frozen"/>
      <selection pane="bottomLeft" activeCell="A1" sqref="A1"/>
    </sheetView>
  </sheetViews>
  <sheetFormatPr baseColWidth="8" defaultRowHeight="15"/>
  <cols>
    <col width="10" customWidth="1" style="163" min="1" max="1"/>
    <col width="22" customWidth="1" style="163" min="2" max="2"/>
    <col width="14" customWidth="1" style="163" min="3" max="3"/>
    <col width="9" customWidth="1" style="163" min="4" max="4"/>
    <col width="24" customWidth="1" style="163" min="5" max="5"/>
    <col width="11" customWidth="1" style="163" min="6" max="6"/>
    <col width="12" customWidth="1" style="163" min="7" max="7"/>
    <col width="12" customWidth="1" style="163" min="8" max="8"/>
    <col width="12" customWidth="1" style="163" min="9" max="9"/>
    <col width="8" customWidth="1" style="163" min="10" max="10"/>
    <col width="7" customWidth="1" style="163" min="12" max="12"/>
    <col width="16" customWidth="1" style="163" min="13" max="13"/>
    <col width="16" customWidth="1" style="163" min="14" max="14"/>
    <col width="16" customWidth="1" style="163" min="15" max="15"/>
    <col width="10" customWidth="1" style="163" min="16" max="16"/>
    <col width="10" customWidth="1" style="163" min="17" max="17"/>
    <col width="10" customWidth="1" style="163" min="18" max="18"/>
    <col width="10" customWidth="1" style="163" min="19" max="19"/>
    <col width="10" customWidth="1" style="163" min="20" max="20"/>
  </cols>
  <sheetData>
    <row r="1" ht="24" customHeight="1" s="163">
      <c r="A1" s="368" t="inlineStr">
        <is>
          <t>COMPLEMENTOS — reposições dentro do mesmo ciclo</t>
        </is>
      </c>
      <c r="M1" s="413" t="inlineStr">
        <is>
          <t>📋 COMO IMPRIMIR: 1) Escolha o Tipo abaixo  2) Digite o Nº  3) Ctrl+P (sai só este comprovante)</t>
        </is>
      </c>
    </row>
    <row r="2" ht="24" customHeight="1" s="163">
      <c r="A2" s="369" t="inlineStr">
        <is>
          <t>Bloco B (Recebimento no Galpão): registre CADA entrega complementar UMA VEZ (produtor, produto, data, recebido, rejeitado). A planilha dá um Nº pra ela sozinha. Bloco C (Entrega às Escolas): digite esse MESMO Nº pra cada escola atendida — produtor e produto vêm automáticos. Um recebimento pode abastecer várias escolas; o pagamento conta uma única vez, no Bloco B.
⚠ SE O COMPLEMENTO CHEGAR JUNTO COM A ENTREGA ORIGINAL (mesma visita): registre o TOTAL recebido diretamente na ficha da ESCOLA (ex.: 170kg do produtor original + 30kg do complementar = digite 200kg em "Recebido Bruto"). NÃO preencha o Bloco C aqui pra esse complemento — só o Bloco B, pra pagar o segundo produtor. Preencher os dois duplicaria a cobrança (230kg em vez de 200kg). Se chegar em OUTRA viagem depois, aí sim preencha os dois blocos normalmente, com comprovante próprio.</t>
        </is>
      </c>
      <c r="M2" s="402" t="inlineStr">
        <is>
          <t>Depois de lançar (Passo 1 e 2), escolha aqui o que quer imprimir. O documento abaixo muda sozinho — não mexe nos lançamentos.</t>
        </is>
      </c>
    </row>
    <row r="3" ht="16" customHeight="1" s="163">
      <c r="A3" s="370">
        <f>HYPERLINK("#'ÍNDICE'!A1","◄ Voltar ao Índice")</f>
        <v/>
      </c>
      <c r="M3" s="391" t="inlineStr">
        <is>
          <t>Tipo:</t>
        </is>
      </c>
      <c r="N3" s="392" t="inlineStr">
        <is>
          <t>Recebimento no Galpão</t>
        </is>
      </c>
      <c r="O3" s="392" t="n"/>
    </row>
    <row r="4" ht="16" customHeight="1" s="163">
      <c r="M4" s="391" t="inlineStr">
        <is>
          <t>Nº do recebimento (se Tipo=Recebimento):</t>
        </is>
      </c>
      <c r="O4" s="392" t="n"/>
      <c r="P4" s="405">
        <f>IF(O4="","","→ "&amp;IFERROR(INDEX($C$7:$C$56,MATCH(O4,$A$7:$A$56,0)),"?")&amp;" / "&amp;IFERROR(INDEX($D$7:$D$56,MATCH(O4,$A$7:$A$56,0)),"?"))</f>
        <v/>
      </c>
      <c r="T4" s="347" t="inlineStr">
        <is>
          <t>Falta original (antes de qualquer complemento):</t>
        </is>
      </c>
    </row>
    <row r="5" ht="16" customHeight="1" s="163">
      <c r="A5" s="371" t="inlineStr">
        <is>
          <t>PASSO 1 — RECEBIMENTO NO GALPÃO — registre cada entrega complementar uma única vez</t>
        </is>
      </c>
      <c r="M5" s="391" t="inlineStr">
        <is>
          <t>Item Nº da entrega (se Tipo=Entrega):</t>
        </is>
      </c>
      <c r="O5" s="392" t="n"/>
      <c r="P5" s="405">
        <f>IF(O5="","","→ "&amp;IFERROR(INDEX($E$60:$E$559,MATCH(O5,$L$60:$L$559,0)),"?"))</f>
        <v/>
      </c>
      <c r="Q5" s="405" t="inlineStr">
        <is>
          <t xml:space="preserve">  |  Falta ATUAL (já descontando complementos aceitos):</t>
        </is>
      </c>
      <c r="T5" s="410">
        <f>IF(O5="","—",IFERROR(INDEX(INDIRECT("'"&amp;VLOOKUP(INDEX($D$60:$D$559,MATCH(O5,$L$60:$L$559,0)),'Entrada de Dados'!$A$6:$V$196,22,0)&amp;"'!F9:F27"),MATCH(INDEX($C$60:$C$559,MATCH(O5,$L$60:$L$559,0)),INDIRECT("'"&amp;VLOOKUP(INDEX($D$60:$D$559,MATCH(O5,$L$60:$L$559,0)),'Entrada de Dados'!$A$6:$V$196,22,0)&amp;"'!A9:A27"),0)),"?"))</f>
        <v/>
      </c>
      <c r="U5" s="414">
        <f>IF(O5="","—",IFERROR(INDEX(INDIRECT("'"&amp;VLOOKUP(INDEX($D$60:$D$559,MATCH(O5,$L$60:$L$559,0)),'Entrada de Dados'!$A$6:$V$196,22,0)&amp;"'!N9:N27"),MATCH(INDEX($C$60:$C$559,MATCH(O5,$L$60:$L$559,0)),INDIRECT("'"&amp;VLOOKUP(INDEX($D$60:$D$559,MATCH(O5,$L$60:$L$559,0)),'Entrada de Dados'!$A$6:$V$196,22,0)&amp;"'!A9:A27"),0)),"?"))</f>
        <v/>
      </c>
    </row>
    <row r="6" ht="32" customHeight="1" s="163">
      <c r="A6" s="366" t="inlineStr">
        <is>
          <t>Nº</t>
        </is>
      </c>
      <c r="B6" s="366" t="inlineStr">
        <is>
          <t>Data</t>
        </is>
      </c>
      <c r="C6" s="366" t="inlineStr">
        <is>
          <t>Produtor</t>
        </is>
      </c>
      <c r="D6" s="366" t="inlineStr">
        <is>
          <t>Produto</t>
        </is>
      </c>
      <c r="E6" s="366" t="inlineStr">
        <is>
          <t>Qtd. recebida
(kg)</t>
        </is>
      </c>
      <c r="F6" s="366" t="inlineStr">
        <is>
          <t>Qtd. rejeitada
(kg)</t>
        </is>
      </c>
      <c r="G6" s="366" t="inlineStr">
        <is>
          <t>Aceito
(kg) - base pagto.</t>
        </is>
      </c>
      <c r="H6" s="366" t="inlineStr">
        <is>
          <t>Preço líquido
(R$/kg)</t>
        </is>
      </c>
      <c r="I6" s="366" t="inlineStr">
        <is>
          <t>Valor a pagar
(R$)</t>
        </is>
      </c>
      <c r="J6" s="366" t="inlineStr">
        <is>
          <t>Situação / Alerta</t>
        </is>
      </c>
      <c r="M6" s="393" t="inlineStr">
        <is>
          <t>COOPERATIVA DOS PRODUTORES RURAIS DE PETRÓPOLIS</t>
        </is>
      </c>
    </row>
    <row r="7">
      <c r="A7" s="372">
        <f>IF(AND(C7="",D7=""),"",ROW()-6)</f>
        <v/>
      </c>
      <c r="B7" s="373" t="n"/>
      <c r="C7" s="374" t="n"/>
      <c r="D7" s="374" t="n"/>
      <c r="E7" s="375" t="n"/>
      <c r="F7" s="375" t="n"/>
      <c r="G7" s="376">
        <f>IF(E7="",0,MAX(E7-F7,0))</f>
        <v/>
      </c>
      <c r="H7" s="376">
        <f>IF(D7="","",IFERROR(INDEX('Entrada de Dados'!$C$2:$U$2,MATCH(D7,'Entrada de Dados'!$C$5:$U$5,0))-3.67,"?"))</f>
        <v/>
      </c>
      <c r="I7" s="377">
        <f>IF(OR(D7="",H7="?"),0,G7*H7)</f>
        <v/>
      </c>
      <c r="J7" s="372">
        <f>IF(AND(C7="",D7="",E7="",F7=""),"",IF(AND(OR(C7&lt;&gt;"",D7&lt;&gt;""),E7=""),"⏳ PENDENTE (falta qtd. recebida)",IF(AND(E7&lt;&gt;"",OR(C7="",D7="")),"❌ FALTA PRODUTOR/PRODUTO",IF(COUNTIF($A$7:$A$56,A7)&gt;1,"❌ Nº DE RECEBIMENTO DUPLICADO",IF(AND(D7&lt;&gt;"",ISNA(MATCH(D7,'Entrada de Dados'!$C$5:$U$5,0))),"❌ PRODUTO NÃO RECONHECIDO",IF(F7&gt;E7,"❌ REJEITADO MAIOR QUE RECEBIDO",IF(AND(B7&lt;&gt;"",COUNTIFS($B$7:$B$56,B7,$C$7:$C$56,C7,$D$7:$D$56,D7)&gt;1),"⚠ Possível duplicata — confira data/produtor/produto","OK"))</f>
        <v/>
      </c>
      <c r="M7" s="394" t="inlineStr">
        <is>
          <t>COMPROVANTE DE ENTREGA COMPLEMENTAR</t>
        </is>
      </c>
    </row>
    <row r="8">
      <c r="A8" s="372">
        <f>IF(AND(C8="",D8=""),"",ROW()-6)</f>
        <v/>
      </c>
      <c r="B8" s="373" t="n"/>
      <c r="C8" s="374" t="n"/>
      <c r="D8" s="374" t="n"/>
      <c r="E8" s="375" t="n"/>
      <c r="F8" s="375" t="n"/>
      <c r="G8" s="376">
        <f>IF(E8="",0,MAX(E8-F8,0))</f>
        <v/>
      </c>
      <c r="H8" s="376">
        <f>IF(D8="","",IFERROR(INDEX('Entrada de Dados'!$C$2:$U$2,MATCH(D8,'Entrada de Dados'!$C$5:$U$5,0))-3.67,"?"))</f>
        <v/>
      </c>
      <c r="I8" s="377">
        <f>IF(OR(D8="",H8="?"),0,G8*H8)</f>
        <v/>
      </c>
      <c r="J8" s="372">
        <f>IF(AND(C8="",D8="",E8="",F8=""),"",IF(AND(OR(C8&lt;&gt;"",D8&lt;&gt;""),E8=""),"⏳ PENDENTE (falta qtd. recebida)",IF(AND(E8&lt;&gt;"",OR(C8="",D8="")),"❌ FALTA PRODUTOR/PRODUTO",IF(COUNTIF($A$7:$A$56,A8)&gt;1,"❌ Nº DE RECEBIMENTO DUPLICADO",IF(AND(D8&lt;&gt;"",ISNA(MATCH(D8,'Entrada de Dados'!$C$5:$U$5,0))),"❌ PRODUTO NÃO RECONHECIDO",IF(F8&gt;E8,"❌ REJEITADO MAIOR QUE RECEBIDO",IF(AND(B8&lt;&gt;"",COUNTIFS($B$7:$B$56,B8,$C$7:$C$56,C8,$D$7:$D$56,D8)&gt;1),"⚠ Possível duplicata — confira data/produtor/produto","OK"))</f>
        <v/>
      </c>
    </row>
    <row r="9" ht="24" customHeight="1" s="163">
      <c r="A9" s="372">
        <f>IF(AND(C9="",D9=""),"",ROW()-6)</f>
        <v/>
      </c>
      <c r="B9" s="373" t="n"/>
      <c r="C9" s="374" t="n"/>
      <c r="D9" s="374" t="n"/>
      <c r="E9" s="375" t="n"/>
      <c r="F9" s="375" t="n"/>
      <c r="G9" s="376">
        <f>IF(E9="",0,MAX(E9-F9,0))</f>
        <v/>
      </c>
      <c r="H9" s="376">
        <f>IF(D9="","",IFERROR(INDEX('Entrada de Dados'!$C$2:$U$2,MATCH(D9,'Entrada de Dados'!$C$5:$U$5,0))-3.67,"?"))</f>
        <v/>
      </c>
      <c r="I9" s="377">
        <f>IF(OR(D9="",H9="?"),0,G9*H9)</f>
        <v/>
      </c>
      <c r="J9" s="372">
        <f>IF(AND(C9="",D9="",E9="",F9=""),"",IF(AND(OR(C9&lt;&gt;"",D9&lt;&gt;""),E9=""),"⏳ PENDENTE (falta qtd. recebida)",IF(AND(E9&lt;&gt;"",OR(C9="",D9="")),"❌ FALTA PRODUTOR/PRODUTO",IF(COUNTIF($A$7:$A$56,A9)&gt;1,"❌ Nº DE RECEBIMENTO DUPLICADO",IF(AND(D9&lt;&gt;"",ISNA(MATCH(D9,'Entrada de Dados'!$C$5:$U$5,0))),"❌ PRODUTO NÃO RECONHECIDO",IF(F9&gt;E9,"❌ REJEITADO MAIOR QUE RECEBIDO",IF(AND(B9&lt;&gt;"",COUNTIFS($B$7:$B$56,B9,$C$7:$C$56,C9,$D$7:$D$56,D9)&gt;1),"⚠ Possível duplicata — confira data/produtor/produto","OK"))</f>
        <v/>
      </c>
      <c r="M9" s="395" t="inlineStr">
        <is>
          <t>IDENTIFICAÇÃO</t>
        </is>
      </c>
      <c r="N9" s="396" t="n"/>
      <c r="O9" s="397" t="n"/>
      <c r="P9" s="398">
        <f>IF($N$3="Recebimento no Galpão","Recebimento no galpão nº "&amp;$O$4,"Entrega complementar à escola - item "&amp;$O$5)</f>
        <v/>
      </c>
      <c r="Q9" s="396" t="n"/>
      <c r="R9" s="396" t="n"/>
      <c r="S9" s="396" t="n"/>
      <c r="T9" s="397" t="n"/>
    </row>
    <row r="10" ht="24" customHeight="1" s="163">
      <c r="A10" s="372">
        <f>IF(AND(C10="",D10=""),"",ROW()-6)</f>
        <v/>
      </c>
      <c r="B10" s="373" t="n"/>
      <c r="C10" s="374" t="n"/>
      <c r="D10" s="374" t="n"/>
      <c r="E10" s="375" t="n"/>
      <c r="F10" s="375" t="n"/>
      <c r="G10" s="376">
        <f>IF(E10="",0,MAX(E10-F10,0))</f>
        <v/>
      </c>
      <c r="H10" s="376">
        <f>IF(D10="","",IFERROR(INDEX('Entrada de Dados'!$C$2:$U$2,MATCH(D10,'Entrada de Dados'!$C$5:$U$5,0))-3.67,"?"))</f>
        <v/>
      </c>
      <c r="I10" s="377">
        <f>IF(OR(D10="",H10="?"),0,G10*H10)</f>
        <v/>
      </c>
      <c r="J10" s="372">
        <f>IF(AND(C10="",D10="",E10="",F10=""),"",IF(AND(OR(C10&lt;&gt;"",D10&lt;&gt;""),E10=""),"⏳ PENDENTE (falta qtd. recebida)",IF(AND(E10&lt;&gt;"",OR(C10="",D10="")),"❌ FALTA PRODUTOR/PRODUTO",IF(COUNTIF($A$7:$A$56,A10)&gt;1,"❌ Nº DE RECEBIMENTO DUPLICADO",IF(AND(D10&lt;&gt;"",ISNA(MATCH(D10,'Entrada de Dados'!$C$5:$U$5,0))),"❌ PRODUTO NÃO RECONHECIDO",IF(F10&gt;E10,"❌ REJEITADO MAIOR QUE RECEBIDO",IF(AND(B10&lt;&gt;"",COUNTIFS($B$7:$B$56,B10,$C$7:$C$56,C10,$D$7:$D$56,D10)&gt;1),"⚠ Possível duplicata — confira data/produtor/produto","OK"))</f>
        <v/>
      </c>
      <c r="M10" s="395" t="inlineStr">
        <is>
          <t>DATA</t>
        </is>
      </c>
      <c r="N10" s="396" t="n"/>
      <c r="O10" s="397" t="n"/>
      <c r="P10" s="398">
        <f>IF($N$3="Recebimento no Galpão",IF($O$4="","",INDEX($B$7:$B$56,MATCH($O$4,$A$7:$A$56,0))),IF($O$5="","",INDEX($F$60:$F$559,MATCH($O$5,$L$60:$L$559,0))))</f>
        <v/>
      </c>
      <c r="Q10" s="396" t="n"/>
      <c r="R10" s="396" t="n"/>
      <c r="S10" s="396" t="n"/>
      <c r="T10" s="397" t="n"/>
    </row>
    <row r="11" ht="24" customHeight="1" s="163">
      <c r="A11" s="372">
        <f>IF(AND(C11="",D11=""),"",ROW()-6)</f>
        <v/>
      </c>
      <c r="B11" s="373" t="n"/>
      <c r="C11" s="374" t="n"/>
      <c r="D11" s="374" t="n"/>
      <c r="E11" s="375" t="n"/>
      <c r="F11" s="375" t="n"/>
      <c r="G11" s="376">
        <f>IF(E11="",0,MAX(E11-F11,0))</f>
        <v/>
      </c>
      <c r="H11" s="376">
        <f>IF(D11="","",IFERROR(INDEX('Entrada de Dados'!$C$2:$U$2,MATCH(D11,'Entrada de Dados'!$C$5:$U$5,0))-3.67,"?"))</f>
        <v/>
      </c>
      <c r="I11" s="377">
        <f>IF(OR(D11="",H11="?"),0,G11*H11)</f>
        <v/>
      </c>
      <c r="J11" s="372">
        <f>IF(AND(C11="",D11="",E11="",F11=""),"",IF(AND(OR(C11&lt;&gt;"",D11&lt;&gt;""),E11=""),"⏳ PENDENTE (falta qtd. recebida)",IF(AND(E11&lt;&gt;"",OR(C11="",D11="")),"❌ FALTA PRODUTOR/PRODUTO",IF(COUNTIF($A$7:$A$56,A11)&gt;1,"❌ Nº DE RECEBIMENTO DUPLICADO",IF(AND(D11&lt;&gt;"",ISNA(MATCH(D11,'Entrada de Dados'!$C$5:$U$5,0))),"❌ PRODUTO NÃO RECONHECIDO",IF(F11&gt;E11,"❌ REJEITADO MAIOR QUE RECEBIDO",IF(AND(B11&lt;&gt;"",COUNTIFS($B$7:$B$56,B11,$C$7:$C$56,C11,$D$7:$D$56,D11)&gt;1),"⚠ Possível duplicata — confira data/produtor/produto","OK"))</f>
        <v/>
      </c>
      <c r="M11" s="395" t="inlineStr">
        <is>
          <t>PRODUTOR</t>
        </is>
      </c>
      <c r="N11" s="396" t="n"/>
      <c r="O11" s="397" t="n"/>
      <c r="P11" s="398">
        <f>IF($N$3="Recebimento no Galpão",IF($O$4="","",INDEX($C$7:$C$56,MATCH($O$4,$A$7:$A$56,0))),IF($O$5="","",INDEX($B$60:$B$559,MATCH($O$5,$L$60:$L$559,0))))</f>
        <v/>
      </c>
      <c r="Q11" s="396" t="n"/>
      <c r="R11" s="396" t="n"/>
      <c r="S11" s="396" t="n"/>
      <c r="T11" s="397" t="n"/>
    </row>
    <row r="12" ht="24" customHeight="1" s="163">
      <c r="A12" s="372">
        <f>IF(AND(C12="",D12=""),"",ROW()-6)</f>
        <v/>
      </c>
      <c r="B12" s="373" t="n"/>
      <c r="C12" s="374" t="n"/>
      <c r="D12" s="374" t="n"/>
      <c r="E12" s="375" t="n"/>
      <c r="F12" s="375" t="n"/>
      <c r="G12" s="376">
        <f>IF(E12="",0,MAX(E12-F12,0))</f>
        <v/>
      </c>
      <c r="H12" s="376">
        <f>IF(D12="","",IFERROR(INDEX('Entrada de Dados'!$C$2:$U$2,MATCH(D12,'Entrada de Dados'!$C$5:$U$5,0))-3.67,"?"))</f>
        <v/>
      </c>
      <c r="I12" s="377">
        <f>IF(OR(D12="",H12="?"),0,G12*H12)</f>
        <v/>
      </c>
      <c r="J12" s="372">
        <f>IF(AND(C12="",D12="",E12="",F12=""),"",IF(AND(OR(C12&lt;&gt;"",D12&lt;&gt;""),E12=""),"⏳ PENDENTE (falta qtd. recebida)",IF(AND(E12&lt;&gt;"",OR(C12="",D12="")),"❌ FALTA PRODUTOR/PRODUTO",IF(COUNTIF($A$7:$A$56,A12)&gt;1,"❌ Nº DE RECEBIMENTO DUPLICADO",IF(AND(D12&lt;&gt;"",ISNA(MATCH(D12,'Entrada de Dados'!$C$5:$U$5,0))),"❌ PRODUTO NÃO RECONHECIDO",IF(F12&gt;E12,"❌ REJEITADO MAIOR QUE RECEBIDO",IF(AND(B12&lt;&gt;"",COUNTIFS($B$7:$B$56,B12,$C$7:$C$56,C12,$D$7:$D$56,D12)&gt;1),"⚠ Possível duplicata — confira data/produtor/produto","OK"))</f>
        <v/>
      </c>
      <c r="M12" s="395" t="inlineStr">
        <is>
          <t>PRODUTO</t>
        </is>
      </c>
      <c r="N12" s="396" t="n"/>
      <c r="O12" s="397" t="n"/>
      <c r="P12" s="398">
        <f>IF($N$3="Recebimento no Galpão",IF($O$4="","",INDEX($D$7:$D$56,MATCH($O$4,$A$7:$A$56,0))),IF($O$5="","",INDEX($C$60:$C$559,MATCH($O$5,$L$60:$L$559,0))))</f>
        <v/>
      </c>
      <c r="Q12" s="396" t="n"/>
      <c r="R12" s="396" t="n"/>
      <c r="S12" s="396" t="n"/>
      <c r="T12" s="397" t="n"/>
    </row>
    <row r="13" ht="24" customHeight="1" s="163">
      <c r="A13" s="372">
        <f>IF(AND(C13="",D13=""),"",ROW()-6)</f>
        <v/>
      </c>
      <c r="B13" s="373" t="n"/>
      <c r="C13" s="374" t="n"/>
      <c r="D13" s="374" t="n"/>
      <c r="E13" s="375" t="n"/>
      <c r="F13" s="375" t="n"/>
      <c r="G13" s="376">
        <f>IF(E13="",0,MAX(E13-F13,0))</f>
        <v/>
      </c>
      <c r="H13" s="376">
        <f>IF(D13="","",IFERROR(INDEX('Entrada de Dados'!$C$2:$U$2,MATCH(D13,'Entrada de Dados'!$C$5:$U$5,0))-3.67,"?"))</f>
        <v/>
      </c>
      <c r="I13" s="377">
        <f>IF(OR(D13="",H13="?"),0,G13*H13)</f>
        <v/>
      </c>
      <c r="J13" s="372">
        <f>IF(AND(C13="",D13="",E13="",F13=""),"",IF(AND(OR(C13&lt;&gt;"",D13&lt;&gt;""),E13=""),"⏳ PENDENTE (falta qtd. recebida)",IF(AND(E13&lt;&gt;"",OR(C13="",D13="")),"❌ FALTA PRODUTOR/PRODUTO",IF(COUNTIF($A$7:$A$56,A13)&gt;1,"❌ Nº DE RECEBIMENTO DUPLICADO",IF(AND(D13&lt;&gt;"",ISNA(MATCH(D13,'Entrada de Dados'!$C$5:$U$5,0))),"❌ PRODUTO NÃO RECONHECIDO",IF(F13&gt;E13,"❌ REJEITADO MAIOR QUE RECEBIDO",IF(AND(B13&lt;&gt;"",COUNTIFS($B$7:$B$56,B13,$C$7:$C$56,C13,$D$7:$D$56,D13)&gt;1),"⚠ Possível duplicata — confira data/produtor/produto","OK"))</f>
        <v/>
      </c>
      <c r="M13" s="395" t="inlineStr">
        <is>
          <t>ESCOLA (se entrega)</t>
        </is>
      </c>
      <c r="N13" s="396" t="n"/>
      <c r="O13" s="397" t="n"/>
      <c r="P13" s="398">
        <f>IF($N$3="Entrega à Escola",IF($O$5="","",INDEX($E$60:$E$559,MATCH($O$5,$L$60:$L$559,0))),"— (recebimento no galpão)")</f>
        <v/>
      </c>
      <c r="Q13" s="396" t="n"/>
      <c r="R13" s="396" t="n"/>
      <c r="S13" s="396" t="n"/>
      <c r="T13" s="397" t="n"/>
    </row>
    <row r="14" ht="24" customHeight="1" s="163">
      <c r="A14" s="372">
        <f>IF(AND(C14="",D14=""),"",ROW()-6)</f>
        <v/>
      </c>
      <c r="B14" s="373" t="n"/>
      <c r="C14" s="374" t="n"/>
      <c r="D14" s="374" t="n"/>
      <c r="E14" s="375" t="n"/>
      <c r="F14" s="375" t="n"/>
      <c r="G14" s="376">
        <f>IF(E14="",0,MAX(E14-F14,0))</f>
        <v/>
      </c>
      <c r="H14" s="376">
        <f>IF(D14="","",IFERROR(INDEX('Entrada de Dados'!$C$2:$U$2,MATCH(D14,'Entrada de Dados'!$C$5:$U$5,0))-3.67,"?"))</f>
        <v/>
      </c>
      <c r="I14" s="377">
        <f>IF(OR(D14="",H14="?"),0,G14*H14)</f>
        <v/>
      </c>
      <c r="J14" s="372">
        <f>IF(AND(C14="",D14="",E14="",F14=""),"",IF(AND(OR(C14&lt;&gt;"",D14&lt;&gt;""),E14=""),"⏳ PENDENTE (falta qtd. recebida)",IF(AND(E14&lt;&gt;"",OR(C14="",D14="")),"❌ FALTA PRODUTOR/PRODUTO",IF(COUNTIF($A$7:$A$56,A14)&gt;1,"❌ Nº DE RECEBIMENTO DUPLICADO",IF(AND(D14&lt;&gt;"",ISNA(MATCH(D14,'Entrada de Dados'!$C$5:$U$5,0))),"❌ PRODUTO NÃO RECONHECIDO",IF(F14&gt;E14,"❌ REJEITADO MAIOR QUE RECEBIDO",IF(AND(B14&lt;&gt;"",COUNTIFS($B$7:$B$56,B14,$C$7:$C$56,C14,$D$7:$D$56,D14)&gt;1),"⚠ Possível duplicata — confira data/produtor/produto","OK"))</f>
        <v/>
      </c>
      <c r="M14" s="395" t="inlineStr">
        <is>
          <t>QTD. APRESENTADA/RECEBIDA (kg)</t>
        </is>
      </c>
      <c r="N14" s="396" t="n"/>
      <c r="O14" s="397" t="n"/>
      <c r="P14" s="398">
        <f>IF($N$3="Recebimento no Galpão",IF($O$4="","",INDEX($E$7:$E$56,MATCH($O$4,$A$7:$A$56,0))),IF($O$5="","",INDEX($G$60:$G$559,MATCH($O$5,$L$60:$L$559,0))))</f>
        <v/>
      </c>
      <c r="Q14" s="396" t="n"/>
      <c r="R14" s="396" t="n"/>
      <c r="S14" s="396" t="n"/>
      <c r="T14" s="397" t="n"/>
    </row>
    <row r="15" ht="24" customHeight="1" s="163">
      <c r="A15" s="372">
        <f>IF(AND(C15="",D15=""),"",ROW()-6)</f>
        <v/>
      </c>
      <c r="B15" s="373" t="n"/>
      <c r="C15" s="374" t="n"/>
      <c r="D15" s="374" t="n"/>
      <c r="E15" s="375" t="n"/>
      <c r="F15" s="375" t="n"/>
      <c r="G15" s="376">
        <f>IF(E15="",0,MAX(E15-F15,0))</f>
        <v/>
      </c>
      <c r="H15" s="376">
        <f>IF(D15="","",IFERROR(INDEX('Entrada de Dados'!$C$2:$U$2,MATCH(D15,'Entrada de Dados'!$C$5:$U$5,0))-3.67,"?"))</f>
        <v/>
      </c>
      <c r="I15" s="377">
        <f>IF(OR(D15="",H15="?"),0,G15*H15)</f>
        <v/>
      </c>
      <c r="J15" s="372">
        <f>IF(AND(C15="",D15="",E15="",F15=""),"",IF(AND(OR(C15&lt;&gt;"",D15&lt;&gt;""),E15=""),"⏳ PENDENTE (falta qtd. recebida)",IF(AND(E15&lt;&gt;"",OR(C15="",D15="")),"❌ FALTA PRODUTOR/PRODUTO",IF(COUNTIF($A$7:$A$56,A15)&gt;1,"❌ Nº DE RECEBIMENTO DUPLICADO",IF(AND(D15&lt;&gt;"",ISNA(MATCH(D15,'Entrada de Dados'!$C$5:$U$5,0))),"❌ PRODUTO NÃO RECONHECIDO",IF(F15&gt;E15,"❌ REJEITADO MAIOR QUE RECEBIDO",IF(AND(B15&lt;&gt;"",COUNTIFS($B$7:$B$56,B15,$C$7:$C$56,C15,$D$7:$D$56,D15)&gt;1),"⚠ Possível duplicata — confira data/produtor/produto","OK"))</f>
        <v/>
      </c>
      <c r="M15" s="395" t="inlineStr">
        <is>
          <t>QTD. REJEITADA (kg)</t>
        </is>
      </c>
      <c r="N15" s="396" t="n"/>
      <c r="O15" s="397" t="n"/>
      <c r="P15" s="398">
        <f>IF($N$3="Recebimento no Galpão",IF($O$4="","",INDEX($F$7:$F$56,MATCH($O$4,$A$7:$A$56,0))),IF($O$5="","",INDEX($H$60:$H$559,MATCH($O$5,$L$60:$L$559,0))))</f>
        <v/>
      </c>
      <c r="Q15" s="396" t="n"/>
      <c r="R15" s="396" t="n"/>
      <c r="S15" s="396" t="n"/>
      <c r="T15" s="397" t="n"/>
    </row>
    <row r="16" ht="24" customHeight="1" s="163">
      <c r="A16" s="372">
        <f>IF(AND(C16="",D16=""),"",ROW()-6)</f>
        <v/>
      </c>
      <c r="B16" s="373" t="n"/>
      <c r="C16" s="374" t="n"/>
      <c r="D16" s="374" t="n"/>
      <c r="E16" s="375" t="n"/>
      <c r="F16" s="375" t="n"/>
      <c r="G16" s="376">
        <f>IF(E16="",0,MAX(E16-F16,0))</f>
        <v/>
      </c>
      <c r="H16" s="376">
        <f>IF(D16="","",IFERROR(INDEX('Entrada de Dados'!$C$2:$U$2,MATCH(D16,'Entrada de Dados'!$C$5:$U$5,0))-3.67,"?"))</f>
        <v/>
      </c>
      <c r="I16" s="377">
        <f>IF(OR(D16="",H16="?"),0,G16*H16)</f>
        <v/>
      </c>
      <c r="J16" s="372">
        <f>IF(AND(C16="",D16="",E16="",F16=""),"",IF(AND(OR(C16&lt;&gt;"",D16&lt;&gt;""),E16=""),"⏳ PENDENTE (falta qtd. recebida)",IF(AND(E16&lt;&gt;"",OR(C16="",D16="")),"❌ FALTA PRODUTOR/PRODUTO",IF(COUNTIF($A$7:$A$56,A16)&gt;1,"❌ Nº DE RECEBIMENTO DUPLICADO",IF(AND(D16&lt;&gt;"",ISNA(MATCH(D16,'Entrada de Dados'!$C$5:$U$5,0))),"❌ PRODUTO NÃO RECONHECIDO",IF(F16&gt;E16,"❌ REJEITADO MAIOR QUE RECEBIDO",IF(AND(B16&lt;&gt;"",COUNTIFS($B$7:$B$56,B16,$C$7:$C$56,C16,$D$7:$D$56,D16)&gt;1),"⚠ Possível duplicata — confira data/produtor/produto","OK"))</f>
        <v/>
      </c>
      <c r="M16" s="395" t="inlineStr">
        <is>
          <t>QTD. ACEITA (kg)</t>
        </is>
      </c>
      <c r="N16" s="396" t="n"/>
      <c r="O16" s="397" t="n"/>
      <c r="P16" s="398">
        <f>IF($N$3="Recebimento no Galpão",IF($O$4="","",INDEX($G$7:$G$56,MATCH($O$4,$A$7:$A$56,0))),IF($O$5="","",INDEX($I$60:$I$559,MATCH($O$5,$L$60:$L$559,0))))</f>
        <v/>
      </c>
      <c r="Q16" s="396" t="n"/>
      <c r="R16" s="396" t="n"/>
      <c r="S16" s="396" t="n"/>
      <c r="T16" s="397" t="n"/>
    </row>
    <row r="17" ht="24" customHeight="1" s="163">
      <c r="A17" s="372">
        <f>IF(AND(C17="",D17=""),"",ROW()-6)</f>
        <v/>
      </c>
      <c r="B17" s="373" t="n"/>
      <c r="C17" s="374" t="n"/>
      <c r="D17" s="374" t="n"/>
      <c r="E17" s="375" t="n"/>
      <c r="F17" s="375" t="n"/>
      <c r="G17" s="376">
        <f>IF(E17="",0,MAX(E17-F17,0))</f>
        <v/>
      </c>
      <c r="H17" s="376">
        <f>IF(D17="","",IFERROR(INDEX('Entrada de Dados'!$C$2:$U$2,MATCH(D17,'Entrada de Dados'!$C$5:$U$5,0))-3.67,"?"))</f>
        <v/>
      </c>
      <c r="I17" s="377">
        <f>IF(OR(D17="",H17="?"),0,G17*H17)</f>
        <v/>
      </c>
      <c r="J17" s="372">
        <f>IF(AND(C17="",D17="",E17="",F17=""),"",IF(AND(OR(C17&lt;&gt;"",D17&lt;&gt;""),E17=""),"⏳ PENDENTE (falta qtd. recebida)",IF(AND(E17&lt;&gt;"",OR(C17="",D17="")),"❌ FALTA PRODUTOR/PRODUTO",IF(COUNTIF($A$7:$A$56,A17)&gt;1,"❌ Nº DE RECEBIMENTO DUPLICADO",IF(AND(D17&lt;&gt;"",ISNA(MATCH(D17,'Entrada de Dados'!$C$5:$U$5,0))),"❌ PRODUTO NÃO RECONHECIDO",IF(F17&gt;E17,"❌ REJEITADO MAIOR QUE RECEBIDO",IF(AND(B17&lt;&gt;"",COUNTIFS($B$7:$B$56,B17,$C$7:$C$56,C17,$D$7:$D$56,D17)&gt;1),"⚠ Possível duplicata — confira data/produtor/produto","OK"))</f>
        <v/>
      </c>
      <c r="M17" s="395" t="inlineStr">
        <is>
          <t>VALOR A PAGAR (se recebimento)</t>
        </is>
      </c>
      <c r="N17" s="396" t="n"/>
      <c r="O17" s="397" t="n"/>
      <c r="P17" s="398">
        <f>IF($N$3="Recebimento no Galpão",IF($O$4="","",INDEX($I$7:$I$56,MATCH($O$4,$A$7:$A$56,0))),"— (já pago no recebimento no galpão)")</f>
        <v/>
      </c>
      <c r="Q17" s="396" t="n"/>
      <c r="R17" s="396" t="n"/>
      <c r="S17" s="396" t="n"/>
      <c r="T17" s="397" t="n"/>
    </row>
    <row r="18">
      <c r="A18" s="372">
        <f>IF(AND(C18="",D18=""),"",ROW()-6)</f>
        <v/>
      </c>
      <c r="B18" s="373" t="n"/>
      <c r="C18" s="374" t="n"/>
      <c r="D18" s="374" t="n"/>
      <c r="E18" s="375" t="n"/>
      <c r="F18" s="375" t="n"/>
      <c r="G18" s="376">
        <f>IF(E18="",0,MAX(E18-F18,0))</f>
        <v/>
      </c>
      <c r="H18" s="376">
        <f>IF(D18="","",IFERROR(INDEX('Entrada de Dados'!$C$2:$U$2,MATCH(D18,'Entrada de Dados'!$C$5:$U$5,0))-3.67,"?"))</f>
        <v/>
      </c>
      <c r="I18" s="377">
        <f>IF(OR(D18="",H18="?"),0,G18*H18)</f>
        <v/>
      </c>
      <c r="J18" s="372">
        <f>IF(AND(C18="",D18="",E18="",F18=""),"",IF(AND(OR(C18&lt;&gt;"",D18&lt;&gt;""),E18=""),"⏳ PENDENTE (falta qtd. recebida)",IF(AND(E18&lt;&gt;"",OR(C18="",D18="")),"❌ FALTA PRODUTOR/PRODUTO",IF(COUNTIF($A$7:$A$56,A18)&gt;1,"❌ Nº DE RECEBIMENTO DUPLICADO",IF(AND(D18&lt;&gt;"",ISNA(MATCH(D18,'Entrada de Dados'!$C$5:$U$5,0))),"❌ PRODUTO NÃO RECONHECIDO",IF(F18&gt;E18,"❌ REJEITADO MAIOR QUE RECEBIDO",IF(AND(B18&lt;&gt;"",COUNTIFS($B$7:$B$56,B18,$C$7:$C$56,C18,$D$7:$D$56,D18)&gt;1),"⚠ Possível duplicata — confira data/produtor/produto","OK"))</f>
        <v/>
      </c>
      <c r="M18" s="363" t="inlineStr">
        <is>
          <t>DATA DA CONFERÊNCIA:</t>
        </is>
      </c>
      <c r="N18" s="346" t="n"/>
      <c r="O18" s="346" t="n"/>
      <c r="P18" s="346" t="n"/>
      <c r="Q18" s="363" t="inlineStr">
        <is>
          <t>HORÁRIO: ____:____</t>
        </is>
      </c>
      <c r="R18" s="346" t="n"/>
      <c r="S18" s="346" t="n"/>
      <c r="T18" s="346" t="n"/>
    </row>
    <row r="19">
      <c r="A19" s="372">
        <f>IF(AND(C19="",D19=""),"",ROW()-6)</f>
        <v/>
      </c>
      <c r="B19" s="373" t="n"/>
      <c r="C19" s="374" t="n"/>
      <c r="D19" s="374" t="n"/>
      <c r="E19" s="375" t="n"/>
      <c r="F19" s="375" t="n"/>
      <c r="G19" s="376">
        <f>IF(E19="",0,MAX(E19-F19,0))</f>
        <v/>
      </c>
      <c r="H19" s="376">
        <f>IF(D19="","",IFERROR(INDEX('Entrada de Dados'!$C$2:$U$2,MATCH(D19,'Entrada de Dados'!$C$5:$U$5,0))-3.67,"?"))</f>
        <v/>
      </c>
      <c r="I19" s="377">
        <f>IF(OR(D19="",H19="?"),0,G19*H19)</f>
        <v/>
      </c>
      <c r="J19" s="372">
        <f>IF(AND(C19="",D19="",E19="",F19=""),"",IF(AND(OR(C19&lt;&gt;"",D19&lt;&gt;""),E19=""),"⏳ PENDENTE (falta qtd. recebida)",IF(AND(E19&lt;&gt;"",OR(C19="",D19="")),"❌ FALTA PRODUTOR/PRODUTO",IF(COUNTIF($A$7:$A$56,A19)&gt;1,"❌ Nº DE RECEBIMENTO DUPLICADO",IF(AND(D19&lt;&gt;"",ISNA(MATCH(D19,'Entrada de Dados'!$C$5:$U$5,0))),"❌ PRODUTO NÃO RECONHECIDO",IF(F19&gt;E19,"❌ REJEITADO MAIOR QUE RECEBIDO",IF(AND(B19&lt;&gt;"",COUNTIFS($B$7:$B$56,B19,$C$7:$C$56,C19,$D$7:$D$56,D19)&gt;1),"⚠ Possível duplicata — confira data/produtor/produto","OK"))</f>
        <v/>
      </c>
      <c r="M19" s="363" t="inlineStr">
        <is>
          <t>ASSINATURA (confirma a conferência, não o pagamento):</t>
        </is>
      </c>
    </row>
    <row r="20" ht="30" customHeight="1" s="163">
      <c r="A20" s="372">
        <f>IF(AND(C20="",D20=""),"",ROW()-6)</f>
        <v/>
      </c>
      <c r="B20" s="373" t="n"/>
      <c r="C20" s="374" t="n"/>
      <c r="D20" s="374" t="n"/>
      <c r="E20" s="375" t="n"/>
      <c r="F20" s="375" t="n"/>
      <c r="G20" s="376">
        <f>IF(E20="",0,MAX(E20-F20,0))</f>
        <v/>
      </c>
      <c r="H20" s="376">
        <f>IF(D20="","",IFERROR(INDEX('Entrada de Dados'!$C$2:$U$2,MATCH(D20,'Entrada de Dados'!$C$5:$U$5,0))-3.67,"?"))</f>
        <v/>
      </c>
      <c r="I20" s="377">
        <f>IF(OR(D20="",H20="?"),0,G20*H20)</f>
        <v/>
      </c>
      <c r="J20" s="372">
        <f>IF(AND(C20="",D20="",E20="",F20=""),"",IF(AND(OR(C20&lt;&gt;"",D20&lt;&gt;""),E20=""),"⏳ PENDENTE (falta qtd. recebida)",IF(AND(E20&lt;&gt;"",OR(C20="",D20="")),"❌ FALTA PRODUTOR/PRODUTO",IF(COUNTIF($A$7:$A$56,A20)&gt;1,"❌ Nº DE RECEBIMENTO DUPLICADO",IF(AND(D20&lt;&gt;"",ISNA(MATCH(D20,'Entrada de Dados'!$C$5:$U$5,0))),"❌ PRODUTO NÃO RECONHECIDO",IF(F20&gt;E20,"❌ REJEITADO MAIOR QUE RECEBIDO",IF(AND(B20&lt;&gt;"",COUNTIFS($B$7:$B$56,B20,$C$7:$C$56,C20,$D$7:$D$56,D20)&gt;1),"⚠ Possível duplicata — confira data/produtor/produto","OK"))</f>
        <v/>
      </c>
      <c r="M20" s="400" t="n"/>
      <c r="N20" s="294" t="n"/>
      <c r="O20" s="294" t="n"/>
      <c r="P20" s="294" t="n"/>
      <c r="Q20" s="294" t="n"/>
      <c r="R20" s="294" t="n"/>
      <c r="S20" s="294" t="n"/>
      <c r="T20" s="294" t="n"/>
    </row>
    <row r="21">
      <c r="A21" s="372">
        <f>IF(AND(C21="",D21=""),"",ROW()-6)</f>
        <v/>
      </c>
      <c r="B21" s="373" t="n"/>
      <c r="C21" s="374" t="n"/>
      <c r="D21" s="374" t="n"/>
      <c r="E21" s="375" t="n"/>
      <c r="F21" s="375" t="n"/>
      <c r="G21" s="376">
        <f>IF(E21="",0,MAX(E21-F21,0))</f>
        <v/>
      </c>
      <c r="H21" s="376">
        <f>IF(D21="","",IFERROR(INDEX('Entrada de Dados'!$C$2:$U$2,MATCH(D21,'Entrada de Dados'!$C$5:$U$5,0))-3.67,"?"))</f>
        <v/>
      </c>
      <c r="I21" s="377">
        <f>IF(OR(D21="",H21="?"),0,G21*H21)</f>
        <v/>
      </c>
      <c r="J21" s="372">
        <f>IF(AND(C21="",D21="",E21="",F21=""),"",IF(AND(OR(C21&lt;&gt;"",D21&lt;&gt;""),E21=""),"⏳ PENDENTE (falta qtd. recebida)",IF(AND(E21&lt;&gt;"",OR(C21="",D21="")),"❌ FALTA PRODUTOR/PRODUTO",IF(COUNTIF($A$7:$A$56,A21)&gt;1,"❌ Nº DE RECEBIMENTO DUPLICADO",IF(AND(D21&lt;&gt;"",ISNA(MATCH(D21,'Entrada de Dados'!$C$5:$U$5,0))),"❌ PRODUTO NÃO RECONHECIDO",IF(F21&gt;E21,"❌ REJEITADO MAIOR QUE RECEBIDO",IF(AND(B21&lt;&gt;"",COUNTIFS($B$7:$B$56,B21,$C$7:$C$56,C21,$D$7:$D$56,D21)&gt;1),"⚠ Possível duplicata — confira data/produtor/produto","OK"))</f>
        <v/>
      </c>
      <c r="M21" s="363" t="n"/>
      <c r="N21" s="346" t="n"/>
      <c r="O21" s="346" t="n"/>
      <c r="P21" s="346" t="n"/>
      <c r="Q21" s="346" t="n"/>
      <c r="R21" s="346" t="n"/>
      <c r="S21" s="346" t="n"/>
      <c r="T21" s="346" t="n"/>
    </row>
    <row r="22" hidden="1" outlineLevel="1" ht="30" customHeight="1" s="163">
      <c r="A22" s="372">
        <f>IF(AND(C22="",D22=""),"",ROW()-6)</f>
        <v/>
      </c>
      <c r="B22" s="373" t="n"/>
      <c r="C22" s="374" t="n"/>
      <c r="D22" s="374" t="n"/>
      <c r="E22" s="375" t="n"/>
      <c r="F22" s="375" t="n"/>
      <c r="G22" s="376">
        <f>IF(E22="",0,MAX(E22-F22,0))</f>
        <v/>
      </c>
      <c r="H22" s="376">
        <f>IF(D22="","",IFERROR(INDEX('Entrada de Dados'!$C$2:$U$2,MATCH(D22,'Entrada de Dados'!$C$5:$U$5,0))-3.67,"?"))</f>
        <v/>
      </c>
      <c r="I22" s="377">
        <f>IF(OR(D22="",H22="?"),0,G22*H22)</f>
        <v/>
      </c>
      <c r="J22" s="372">
        <f>IF(AND(C22="",D22="",E22="",F22=""),"",IF(AND(OR(C22&lt;&gt;"",D22&lt;&gt;""),E22=""),"⏳ PENDENTE (falta qtd. recebida)",IF(AND(E22&lt;&gt;"",OR(C22="",D22="")),"❌ FALTA PRODUTOR/PRODUTO",IF(COUNTIF($A$7:$A$56,A22)&gt;1,"❌ Nº DE RECEBIMENTO DUPLICADO",IF(AND(D22&lt;&gt;"",ISNA(MATCH(D22,'Entrada de Dados'!$C$5:$U$5,0))),"❌ PRODUTO NÃO RECONHECIDO",IF(F22&gt;E22,"❌ REJEITADO MAIOR QUE RECEBIDO",IF(AND(B22&lt;&gt;"",COUNTIFS($B$7:$B$56,B22,$C$7:$C$56,C22,$D$7:$D$56,D22)&gt;1),"⚠ Possível duplicata — confira data/produtor/produto","OK"))</f>
        <v/>
      </c>
      <c r="M22" s="408" t="n"/>
      <c r="R22" s="407" t="n"/>
      <c r="S22" s="346" t="n"/>
      <c r="T22" s="346" t="n"/>
    </row>
    <row r="23" hidden="1" outlineLevel="1" s="163">
      <c r="A23" s="372">
        <f>IF(AND(C23="",D23=""),"",ROW()-6)</f>
        <v/>
      </c>
      <c r="B23" s="373" t="n"/>
      <c r="C23" s="374" t="n"/>
      <c r="D23" s="374" t="n"/>
      <c r="E23" s="375" t="n"/>
      <c r="F23" s="375" t="n"/>
      <c r="G23" s="376">
        <f>IF(E23="",0,MAX(E23-F23,0))</f>
        <v/>
      </c>
      <c r="H23" s="376">
        <f>IF(D23="","",IFERROR(INDEX('Entrada de Dados'!$C$2:$U$2,MATCH(D23,'Entrada de Dados'!$C$5:$U$5,0))-3.67,"?"))</f>
        <v/>
      </c>
      <c r="I23" s="377">
        <f>IF(OR(D23="",H23="?"),0,G23*H23)</f>
        <v/>
      </c>
      <c r="J23" s="372">
        <f>IF(AND(C23="",D23="",E23="",F23=""),"",IF(AND(OR(C23&lt;&gt;"",D23&lt;&gt;""),E23=""),"⏳ PENDENTE (falta qtd. recebida)",IF(AND(E23&lt;&gt;"",OR(C23="",D23="")),"❌ FALTA PRODUTOR/PRODUTO",IF(COUNTIF($A$7:$A$56,A23)&gt;1,"❌ Nº DE RECEBIMENTO DUPLICADO",IF(AND(D23&lt;&gt;"",ISNA(MATCH(D23,'Entrada de Dados'!$C$5:$U$5,0))),"❌ PRODUTO NÃO RECONHECIDO",IF(F23&gt;E23,"❌ REJEITADO MAIOR QUE RECEBIDO",IF(AND(B23&lt;&gt;"",COUNTIFS($B$7:$B$56,B23,$C$7:$C$56,C23,$D$7:$D$56,D23)&gt;1),"⚠ Possível duplicata — confira data/produtor/produto","OK"))</f>
        <v/>
      </c>
    </row>
    <row r="24" hidden="1" outlineLevel="1" s="163">
      <c r="A24" s="372">
        <f>IF(AND(C24="",D24=""),"",ROW()-6)</f>
        <v/>
      </c>
      <c r="B24" s="373" t="n"/>
      <c r="C24" s="374" t="n"/>
      <c r="D24" s="374" t="n"/>
      <c r="E24" s="375" t="n"/>
      <c r="F24" s="375" t="n"/>
      <c r="G24" s="376">
        <f>IF(E24="",0,MAX(E24-F24,0))</f>
        <v/>
      </c>
      <c r="H24" s="376">
        <f>IF(D24="","",IFERROR(INDEX('Entrada de Dados'!$C$2:$U$2,MATCH(D24,'Entrada de Dados'!$C$5:$U$5,0))-3.67,"?"))</f>
        <v/>
      </c>
      <c r="I24" s="377">
        <f>IF(OR(D24="",H24="?"),0,G24*H24)</f>
        <v/>
      </c>
      <c r="J24" s="372">
        <f>IF(AND(C24="",D24="",E24="",F24=""),"",IF(AND(OR(C24&lt;&gt;"",D24&lt;&gt;""),E24=""),"⏳ PENDENTE (falta qtd. recebida)",IF(AND(E24&lt;&gt;"",OR(C24="",D24="")),"❌ FALTA PRODUTOR/PRODUTO",IF(COUNTIF($A$7:$A$56,A24)&gt;1,"❌ Nº DE RECEBIMENTO DUPLICADO",IF(AND(D24&lt;&gt;"",ISNA(MATCH(D24,'Entrada de Dados'!$C$5:$U$5,0))),"❌ PRODUTO NÃO RECONHECIDO",IF(F24&gt;E24,"❌ REJEITADO MAIOR QUE RECEBIDO",IF(AND(B24&lt;&gt;"",COUNTIFS($B$7:$B$56,B24,$C$7:$C$56,C24,$D$7:$D$56,D24)&gt;1),"⚠ Possível duplicata — confira data/produtor/produto","OK"))</f>
        <v/>
      </c>
    </row>
    <row r="25" hidden="1" outlineLevel="1" s="163">
      <c r="A25" s="372">
        <f>IF(AND(C25="",D25=""),"",ROW()-6)</f>
        <v/>
      </c>
      <c r="B25" s="373" t="n"/>
      <c r="C25" s="374" t="n"/>
      <c r="D25" s="374" t="n"/>
      <c r="E25" s="375" t="n"/>
      <c r="F25" s="375" t="n"/>
      <c r="G25" s="376">
        <f>IF(E25="",0,MAX(E25-F25,0))</f>
        <v/>
      </c>
      <c r="H25" s="376">
        <f>IF(D25="","",IFERROR(INDEX('Entrada de Dados'!$C$2:$U$2,MATCH(D25,'Entrada de Dados'!$C$5:$U$5,0))-3.67,"?"))</f>
        <v/>
      </c>
      <c r="I25" s="377">
        <f>IF(OR(D25="",H25="?"),0,G25*H25)</f>
        <v/>
      </c>
      <c r="J25" s="372">
        <f>IF(AND(C25="",D25="",E25="",F25=""),"",IF(AND(OR(C25&lt;&gt;"",D25&lt;&gt;""),E25=""),"⏳ PENDENTE (falta qtd. recebida)",IF(AND(E25&lt;&gt;"",OR(C25="",D25="")),"❌ FALTA PRODUTOR/PRODUTO",IF(COUNTIF($A$7:$A$56,A25)&gt;1,"❌ Nº DE RECEBIMENTO DUPLICADO",IF(AND(D25&lt;&gt;"",ISNA(MATCH(D25,'Entrada de Dados'!$C$5:$U$5,0))),"❌ PRODUTO NÃO RECONHECIDO",IF(F25&gt;E25,"❌ REJEITADO MAIOR QUE RECEBIDO",IF(AND(B25&lt;&gt;"",COUNTIFS($B$7:$B$56,B25,$C$7:$C$56,C25,$D$7:$D$56,D25)&gt;1),"⚠ Possível duplicata — confira data/produtor/produto","OK"))</f>
        <v/>
      </c>
    </row>
    <row r="26" hidden="1" outlineLevel="1" s="163">
      <c r="A26" s="372">
        <f>IF(AND(C26="",D26=""),"",ROW()-6)</f>
        <v/>
      </c>
      <c r="B26" s="373" t="n"/>
      <c r="C26" s="374" t="n"/>
      <c r="D26" s="374" t="n"/>
      <c r="E26" s="375" t="n"/>
      <c r="F26" s="375" t="n"/>
      <c r="G26" s="376">
        <f>IF(E26="",0,MAX(E26-F26,0))</f>
        <v/>
      </c>
      <c r="H26" s="376">
        <f>IF(D26="","",IFERROR(INDEX('Entrada de Dados'!$C$2:$U$2,MATCH(D26,'Entrada de Dados'!$C$5:$U$5,0))-3.67,"?"))</f>
        <v/>
      </c>
      <c r="I26" s="377">
        <f>IF(OR(D26="",H26="?"),0,G26*H26)</f>
        <v/>
      </c>
      <c r="J26" s="372">
        <f>IF(AND(C26="",D26="",E26="",F26=""),"",IF(AND(OR(C26&lt;&gt;"",D26&lt;&gt;""),E26=""),"⏳ PENDENTE (falta qtd. recebida)",IF(AND(E26&lt;&gt;"",OR(C26="",D26="")),"❌ FALTA PRODUTOR/PRODUTO",IF(COUNTIF($A$7:$A$56,A26)&gt;1,"❌ Nº DE RECEBIMENTO DUPLICADO",IF(AND(D26&lt;&gt;"",ISNA(MATCH(D26,'Entrada de Dados'!$C$5:$U$5,0))),"❌ PRODUTO NÃO RECONHECIDO",IF(F26&gt;E26,"❌ REJEITADO MAIOR QUE RECEBIDO",IF(AND(B26&lt;&gt;"",COUNTIFS($B$7:$B$56,B26,$C$7:$C$56,C26,$D$7:$D$56,D26)&gt;1),"⚠ Possível duplicata — confira data/produtor/produto","OK"))</f>
        <v/>
      </c>
    </row>
    <row r="27" hidden="1" outlineLevel="1" s="163">
      <c r="A27" s="372">
        <f>IF(AND(C27="",D27=""),"",ROW()-6)</f>
        <v/>
      </c>
      <c r="B27" s="373" t="n"/>
      <c r="C27" s="374" t="n"/>
      <c r="D27" s="374" t="n"/>
      <c r="E27" s="375" t="n"/>
      <c r="F27" s="375" t="n"/>
      <c r="G27" s="376">
        <f>IF(E27="",0,MAX(E27-F27,0))</f>
        <v/>
      </c>
      <c r="H27" s="376">
        <f>IF(D27="","",IFERROR(INDEX('Entrada de Dados'!$C$2:$U$2,MATCH(D27,'Entrada de Dados'!$C$5:$U$5,0))-3.67,"?"))</f>
        <v/>
      </c>
      <c r="I27" s="377">
        <f>IF(OR(D27="",H27="?"),0,G27*H27)</f>
        <v/>
      </c>
      <c r="J27" s="372">
        <f>IF(AND(C27="",D27="",E27="",F27=""),"",IF(AND(OR(C27&lt;&gt;"",D27&lt;&gt;""),E27=""),"⏳ PENDENTE (falta qtd. recebida)",IF(AND(E27&lt;&gt;"",OR(C27="",D27="")),"❌ FALTA PRODUTOR/PRODUTO",IF(COUNTIF($A$7:$A$56,A27)&gt;1,"❌ Nº DE RECEBIMENTO DUPLICADO",IF(AND(D27&lt;&gt;"",ISNA(MATCH(D27,'Entrada de Dados'!$C$5:$U$5,0))),"❌ PRODUTO NÃO RECONHECIDO",IF(F27&gt;E27,"❌ REJEITADO MAIOR QUE RECEBIDO",IF(AND(B27&lt;&gt;"",COUNTIFS($B$7:$B$56,B27,$C$7:$C$56,C27,$D$7:$D$56,D27)&gt;1),"⚠ Possível duplicata — confira data/produtor/produto","OK"))</f>
        <v/>
      </c>
    </row>
    <row r="28" hidden="1" outlineLevel="1" s="163">
      <c r="A28" s="372">
        <f>IF(AND(C28="",D28=""),"",ROW()-6)</f>
        <v/>
      </c>
      <c r="B28" s="373" t="n"/>
      <c r="C28" s="374" t="n"/>
      <c r="D28" s="374" t="n"/>
      <c r="E28" s="375" t="n"/>
      <c r="F28" s="375" t="n"/>
      <c r="G28" s="376">
        <f>IF(E28="",0,MAX(E28-F28,0))</f>
        <v/>
      </c>
      <c r="H28" s="376">
        <f>IF(D28="","",IFERROR(INDEX('Entrada de Dados'!$C$2:$U$2,MATCH(D28,'Entrada de Dados'!$C$5:$U$5,0))-3.67,"?"))</f>
        <v/>
      </c>
      <c r="I28" s="377">
        <f>IF(OR(D28="",H28="?"),0,G28*H28)</f>
        <v/>
      </c>
      <c r="J28" s="372">
        <f>IF(AND(C28="",D28="",E28="",F28=""),"",IF(AND(OR(C28&lt;&gt;"",D28&lt;&gt;""),E28=""),"⏳ PENDENTE (falta qtd. recebida)",IF(AND(E28&lt;&gt;"",OR(C28="",D28="")),"❌ FALTA PRODUTOR/PRODUTO",IF(COUNTIF($A$7:$A$56,A28)&gt;1,"❌ Nº DE RECEBIMENTO DUPLICADO",IF(AND(D28&lt;&gt;"",ISNA(MATCH(D28,'Entrada de Dados'!$C$5:$U$5,0))),"❌ PRODUTO NÃO RECONHECIDO",IF(F28&gt;E28,"❌ REJEITADO MAIOR QUE RECEBIDO",IF(AND(B28&lt;&gt;"",COUNTIFS($B$7:$B$56,B28,$C$7:$C$56,C28,$D$7:$D$56,D28)&gt;1),"⚠ Possível duplicata — confira data/produtor/produto","OK"))</f>
        <v/>
      </c>
    </row>
    <row r="29" hidden="1" outlineLevel="1" s="163">
      <c r="A29" s="372">
        <f>IF(AND(C29="",D29=""),"",ROW()-6)</f>
        <v/>
      </c>
      <c r="B29" s="373" t="n"/>
      <c r="C29" s="374" t="n"/>
      <c r="D29" s="374" t="n"/>
      <c r="E29" s="375" t="n"/>
      <c r="F29" s="375" t="n"/>
      <c r="G29" s="376">
        <f>IF(E29="",0,MAX(E29-F29,0))</f>
        <v/>
      </c>
      <c r="H29" s="376">
        <f>IF(D29="","",IFERROR(INDEX('Entrada de Dados'!$C$2:$U$2,MATCH(D29,'Entrada de Dados'!$C$5:$U$5,0))-3.67,"?"))</f>
        <v/>
      </c>
      <c r="I29" s="377">
        <f>IF(OR(D29="",H29="?"),0,G29*H29)</f>
        <v/>
      </c>
      <c r="J29" s="372">
        <f>IF(AND(C29="",D29="",E29="",F29=""),"",IF(AND(OR(C29&lt;&gt;"",D29&lt;&gt;""),E29=""),"⏳ PENDENTE (falta qtd. recebida)",IF(AND(E29&lt;&gt;"",OR(C29="",D29="")),"❌ FALTA PRODUTOR/PRODUTO",IF(COUNTIF($A$7:$A$56,A29)&gt;1,"❌ Nº DE RECEBIMENTO DUPLICADO",IF(AND(D29&lt;&gt;"",ISNA(MATCH(D29,'Entrada de Dados'!$C$5:$U$5,0))),"❌ PRODUTO NÃO RECONHECIDO",IF(F29&gt;E29,"❌ REJEITADO MAIOR QUE RECEBIDO",IF(AND(B29&lt;&gt;"",COUNTIFS($B$7:$B$56,B29,$C$7:$C$56,C29,$D$7:$D$56,D29)&gt;1),"⚠ Possível duplicata — confira data/produtor/produto","OK"))</f>
        <v/>
      </c>
    </row>
    <row r="30" hidden="1" outlineLevel="1" s="163">
      <c r="A30" s="372">
        <f>IF(AND(C30="",D30=""),"",ROW()-6)</f>
        <v/>
      </c>
      <c r="B30" s="373" t="n"/>
      <c r="C30" s="374" t="n"/>
      <c r="D30" s="374" t="n"/>
      <c r="E30" s="375" t="n"/>
      <c r="F30" s="375" t="n"/>
      <c r="G30" s="376">
        <f>IF(E30="",0,MAX(E30-F30,0))</f>
        <v/>
      </c>
      <c r="H30" s="376">
        <f>IF(D30="","",IFERROR(INDEX('Entrada de Dados'!$C$2:$U$2,MATCH(D30,'Entrada de Dados'!$C$5:$U$5,0))-3.67,"?"))</f>
        <v/>
      </c>
      <c r="I30" s="377">
        <f>IF(OR(D30="",H30="?"),0,G30*H30)</f>
        <v/>
      </c>
      <c r="J30" s="372">
        <f>IF(AND(C30="",D30="",E30="",F30=""),"",IF(AND(OR(C30&lt;&gt;"",D30&lt;&gt;""),E30=""),"⏳ PENDENTE (falta qtd. recebida)",IF(AND(E30&lt;&gt;"",OR(C30="",D30="")),"❌ FALTA PRODUTOR/PRODUTO",IF(COUNTIF($A$7:$A$56,A30)&gt;1,"❌ Nº DE RECEBIMENTO DUPLICADO",IF(AND(D30&lt;&gt;"",ISNA(MATCH(D30,'Entrada de Dados'!$C$5:$U$5,0))),"❌ PRODUTO NÃO RECONHECIDO",IF(F30&gt;E30,"❌ REJEITADO MAIOR QUE RECEBIDO",IF(AND(B30&lt;&gt;"",COUNTIFS($B$7:$B$56,B30,$C$7:$C$56,C30,$D$7:$D$56,D30)&gt;1),"⚠ Possível duplicata — confira data/produtor/produto","OK"))</f>
        <v/>
      </c>
    </row>
    <row r="31" hidden="1" outlineLevel="1" s="163">
      <c r="A31" s="372">
        <f>IF(AND(C31="",D31=""),"",ROW()-6)</f>
        <v/>
      </c>
      <c r="B31" s="373" t="n"/>
      <c r="C31" s="374" t="n"/>
      <c r="D31" s="374" t="n"/>
      <c r="E31" s="375" t="n"/>
      <c r="F31" s="375" t="n"/>
      <c r="G31" s="376">
        <f>IF(E31="",0,MAX(E31-F31,0))</f>
        <v/>
      </c>
      <c r="H31" s="376">
        <f>IF(D31="","",IFERROR(INDEX('Entrada de Dados'!$C$2:$U$2,MATCH(D31,'Entrada de Dados'!$C$5:$U$5,0))-3.67,"?"))</f>
        <v/>
      </c>
      <c r="I31" s="377">
        <f>IF(OR(D31="",H31="?"),0,G31*H31)</f>
        <v/>
      </c>
      <c r="J31" s="372">
        <f>IF(AND(C31="",D31="",E31="",F31=""),"",IF(AND(OR(C31&lt;&gt;"",D31&lt;&gt;""),E31=""),"⏳ PENDENTE (falta qtd. recebida)",IF(AND(E31&lt;&gt;"",OR(C31="",D31="")),"❌ FALTA PRODUTOR/PRODUTO",IF(COUNTIF($A$7:$A$56,A31)&gt;1,"❌ Nº DE RECEBIMENTO DUPLICADO",IF(AND(D31&lt;&gt;"",ISNA(MATCH(D31,'Entrada de Dados'!$C$5:$U$5,0))),"❌ PRODUTO NÃO RECONHECIDO",IF(F31&gt;E31,"❌ REJEITADO MAIOR QUE RECEBIDO",IF(AND(B31&lt;&gt;"",COUNTIFS($B$7:$B$56,B31,$C$7:$C$56,C31,$D$7:$D$56,D31)&gt;1),"⚠ Possível duplicata — confira data/produtor/produto","OK"))</f>
        <v/>
      </c>
    </row>
    <row r="32" hidden="1" outlineLevel="1" s="163">
      <c r="A32" s="372">
        <f>IF(AND(C32="",D32=""),"",ROW()-6)</f>
        <v/>
      </c>
      <c r="B32" s="373" t="n"/>
      <c r="C32" s="374" t="n"/>
      <c r="D32" s="374" t="n"/>
      <c r="E32" s="375" t="n"/>
      <c r="F32" s="375" t="n"/>
      <c r="G32" s="376">
        <f>IF(E32="",0,MAX(E32-F32,0))</f>
        <v/>
      </c>
      <c r="H32" s="376">
        <f>IF(D32="","",IFERROR(INDEX('Entrada de Dados'!$C$2:$U$2,MATCH(D32,'Entrada de Dados'!$C$5:$U$5,0))-3.67,"?"))</f>
        <v/>
      </c>
      <c r="I32" s="377">
        <f>IF(OR(D32="",H32="?"),0,G32*H32)</f>
        <v/>
      </c>
      <c r="J32" s="372">
        <f>IF(AND(C32="",D32="",E32="",F32=""),"",IF(AND(OR(C32&lt;&gt;"",D32&lt;&gt;""),E32=""),"⏳ PENDENTE (falta qtd. recebida)",IF(AND(E32&lt;&gt;"",OR(C32="",D32="")),"❌ FALTA PRODUTOR/PRODUTO",IF(COUNTIF($A$7:$A$56,A32)&gt;1,"❌ Nº DE RECEBIMENTO DUPLICADO",IF(AND(D32&lt;&gt;"",ISNA(MATCH(D32,'Entrada de Dados'!$C$5:$U$5,0))),"❌ PRODUTO NÃO RECONHECIDO",IF(F32&gt;E32,"❌ REJEITADO MAIOR QUE RECEBIDO",IF(AND(B32&lt;&gt;"",COUNTIFS($B$7:$B$56,B32,$C$7:$C$56,C32,$D$7:$D$56,D32)&gt;1),"⚠ Possível duplicata — confira data/produtor/produto","OK"))</f>
        <v/>
      </c>
    </row>
    <row r="33" hidden="1" outlineLevel="1" s="163">
      <c r="A33" s="372">
        <f>IF(AND(C33="",D33=""),"",ROW()-6)</f>
        <v/>
      </c>
      <c r="B33" s="373" t="n"/>
      <c r="C33" s="374" t="n"/>
      <c r="D33" s="374" t="n"/>
      <c r="E33" s="375" t="n"/>
      <c r="F33" s="375" t="n"/>
      <c r="G33" s="376">
        <f>IF(E33="",0,MAX(E33-F33,0))</f>
        <v/>
      </c>
      <c r="H33" s="376">
        <f>IF(D33="","",IFERROR(INDEX('Entrada de Dados'!$C$2:$U$2,MATCH(D33,'Entrada de Dados'!$C$5:$U$5,0))-3.67,"?"))</f>
        <v/>
      </c>
      <c r="I33" s="377">
        <f>IF(OR(D33="",H33="?"),0,G33*H33)</f>
        <v/>
      </c>
      <c r="J33" s="372">
        <f>IF(AND(C33="",D33="",E33="",F33=""),"",IF(AND(OR(C33&lt;&gt;"",D33&lt;&gt;""),E33=""),"⏳ PENDENTE (falta qtd. recebida)",IF(AND(E33&lt;&gt;"",OR(C33="",D33="")),"❌ FALTA PRODUTOR/PRODUTO",IF(COUNTIF($A$7:$A$56,A33)&gt;1,"❌ Nº DE RECEBIMENTO DUPLICADO",IF(AND(D33&lt;&gt;"",ISNA(MATCH(D33,'Entrada de Dados'!$C$5:$U$5,0))),"❌ PRODUTO NÃO RECONHECIDO",IF(F33&gt;E33,"❌ REJEITADO MAIOR QUE RECEBIDO",IF(AND(B33&lt;&gt;"",COUNTIFS($B$7:$B$56,B33,$C$7:$C$56,C33,$D$7:$D$56,D33)&gt;1),"⚠ Possível duplicata — confira data/produtor/produto","OK"))</f>
        <v/>
      </c>
    </row>
    <row r="34" hidden="1" outlineLevel="1" s="163">
      <c r="A34" s="372">
        <f>IF(AND(C34="",D34=""),"",ROW()-6)</f>
        <v/>
      </c>
      <c r="B34" s="373" t="n"/>
      <c r="C34" s="374" t="n"/>
      <c r="D34" s="374" t="n"/>
      <c r="E34" s="375" t="n"/>
      <c r="F34" s="375" t="n"/>
      <c r="G34" s="376">
        <f>IF(E34="",0,MAX(E34-F34,0))</f>
        <v/>
      </c>
      <c r="H34" s="376">
        <f>IF(D34="","",IFERROR(INDEX('Entrada de Dados'!$C$2:$U$2,MATCH(D34,'Entrada de Dados'!$C$5:$U$5,0))-3.67,"?"))</f>
        <v/>
      </c>
      <c r="I34" s="377">
        <f>IF(OR(D34="",H34="?"),0,G34*H34)</f>
        <v/>
      </c>
      <c r="J34" s="372">
        <f>IF(AND(C34="",D34="",E34="",F34=""),"",IF(AND(OR(C34&lt;&gt;"",D34&lt;&gt;""),E34=""),"⏳ PENDENTE (falta qtd. recebida)",IF(AND(E34&lt;&gt;"",OR(C34="",D34="")),"❌ FALTA PRODUTOR/PRODUTO",IF(COUNTIF($A$7:$A$56,A34)&gt;1,"❌ Nº DE RECEBIMENTO DUPLICADO",IF(AND(D34&lt;&gt;"",ISNA(MATCH(D34,'Entrada de Dados'!$C$5:$U$5,0))),"❌ PRODUTO NÃO RECONHECIDO",IF(F34&gt;E34,"❌ REJEITADO MAIOR QUE RECEBIDO",IF(AND(B34&lt;&gt;"",COUNTIFS($B$7:$B$56,B34,$C$7:$C$56,C34,$D$7:$D$56,D34)&gt;1),"⚠ Possível duplicata — confira data/produtor/produto","OK"))</f>
        <v/>
      </c>
    </row>
    <row r="35" hidden="1" outlineLevel="1" s="163">
      <c r="A35" s="372">
        <f>IF(AND(C35="",D35=""),"",ROW()-6)</f>
        <v/>
      </c>
      <c r="B35" s="373" t="n"/>
      <c r="C35" s="374" t="n"/>
      <c r="D35" s="374" t="n"/>
      <c r="E35" s="375" t="n"/>
      <c r="F35" s="375" t="n"/>
      <c r="G35" s="376">
        <f>IF(E35="",0,MAX(E35-F35,0))</f>
        <v/>
      </c>
      <c r="H35" s="376">
        <f>IF(D35="","",IFERROR(INDEX('Entrada de Dados'!$C$2:$U$2,MATCH(D35,'Entrada de Dados'!$C$5:$U$5,0))-3.67,"?"))</f>
        <v/>
      </c>
      <c r="I35" s="377">
        <f>IF(OR(D35="",H35="?"),0,G35*H35)</f>
        <v/>
      </c>
      <c r="J35" s="372">
        <f>IF(AND(C35="",D35="",E35="",F35=""),"",IF(AND(OR(C35&lt;&gt;"",D35&lt;&gt;""),E35=""),"⏳ PENDENTE (falta qtd. recebida)",IF(AND(E35&lt;&gt;"",OR(C35="",D35="")),"❌ FALTA PRODUTOR/PRODUTO",IF(COUNTIF($A$7:$A$56,A35)&gt;1,"❌ Nº DE RECEBIMENTO DUPLICADO",IF(AND(D35&lt;&gt;"",ISNA(MATCH(D35,'Entrada de Dados'!$C$5:$U$5,0))),"❌ PRODUTO NÃO RECONHECIDO",IF(F35&gt;E35,"❌ REJEITADO MAIOR QUE RECEBIDO",IF(AND(B35&lt;&gt;"",COUNTIFS($B$7:$B$56,B35,$C$7:$C$56,C35,$D$7:$D$56,D35)&gt;1),"⚠ Possível duplicata — confira data/produtor/produto","OK"))</f>
        <v/>
      </c>
    </row>
    <row r="36" hidden="1" outlineLevel="1" s="163">
      <c r="A36" s="372">
        <f>IF(AND(C36="",D36=""),"",ROW()-6)</f>
        <v/>
      </c>
      <c r="B36" s="373" t="n"/>
      <c r="C36" s="374" t="n"/>
      <c r="D36" s="374" t="n"/>
      <c r="E36" s="375" t="n"/>
      <c r="F36" s="375" t="n"/>
      <c r="G36" s="376">
        <f>IF(E36="",0,MAX(E36-F36,0))</f>
        <v/>
      </c>
      <c r="H36" s="376">
        <f>IF(D36="","",IFERROR(INDEX('Entrada de Dados'!$C$2:$U$2,MATCH(D36,'Entrada de Dados'!$C$5:$U$5,0))-3.67,"?"))</f>
        <v/>
      </c>
      <c r="I36" s="377">
        <f>IF(OR(D36="",H36="?"),0,G36*H36)</f>
        <v/>
      </c>
      <c r="J36" s="372">
        <f>IF(AND(C36="",D36="",E36="",F36=""),"",IF(AND(OR(C36&lt;&gt;"",D36&lt;&gt;""),E36=""),"⏳ PENDENTE (falta qtd. recebida)",IF(AND(E36&lt;&gt;"",OR(C36="",D36="")),"❌ FALTA PRODUTOR/PRODUTO",IF(COUNTIF($A$7:$A$56,A36)&gt;1,"❌ Nº DE RECEBIMENTO DUPLICADO",IF(AND(D36&lt;&gt;"",ISNA(MATCH(D36,'Entrada de Dados'!$C$5:$U$5,0))),"❌ PRODUTO NÃO RECONHECIDO",IF(F36&gt;E36,"❌ REJEITADO MAIOR QUE RECEBIDO",IF(AND(B36&lt;&gt;"",COUNTIFS($B$7:$B$56,B36,$C$7:$C$56,C36,$D$7:$D$56,D36)&gt;1),"⚠ Possível duplicata — confira data/produtor/produto","OK"))</f>
        <v/>
      </c>
    </row>
    <row r="37" hidden="1" outlineLevel="1" s="163">
      <c r="A37" s="372">
        <f>IF(AND(C37="",D37=""),"",ROW()-6)</f>
        <v/>
      </c>
      <c r="B37" s="373" t="n"/>
      <c r="C37" s="374" t="n"/>
      <c r="D37" s="374" t="n"/>
      <c r="E37" s="375" t="n"/>
      <c r="F37" s="375" t="n"/>
      <c r="G37" s="376">
        <f>IF(E37="",0,MAX(E37-F37,0))</f>
        <v/>
      </c>
      <c r="H37" s="376">
        <f>IF(D37="","",IFERROR(INDEX('Entrada de Dados'!$C$2:$U$2,MATCH(D37,'Entrada de Dados'!$C$5:$U$5,0))-3.67,"?"))</f>
        <v/>
      </c>
      <c r="I37" s="377">
        <f>IF(OR(D37="",H37="?"),0,G37*H37)</f>
        <v/>
      </c>
      <c r="J37" s="372">
        <f>IF(AND(C37="",D37="",E37="",F37=""),"",IF(AND(OR(C37&lt;&gt;"",D37&lt;&gt;""),E37=""),"⏳ PENDENTE (falta qtd. recebida)",IF(AND(E37&lt;&gt;"",OR(C37="",D37="")),"❌ FALTA PRODUTOR/PRODUTO",IF(COUNTIF($A$7:$A$56,A37)&gt;1,"❌ Nº DE RECEBIMENTO DUPLICADO",IF(AND(D37&lt;&gt;"",ISNA(MATCH(D37,'Entrada de Dados'!$C$5:$U$5,0))),"❌ PRODUTO NÃO RECONHECIDO",IF(F37&gt;E37,"❌ REJEITADO MAIOR QUE RECEBIDO",IF(AND(B37&lt;&gt;"",COUNTIFS($B$7:$B$56,B37,$C$7:$C$56,C37,$D$7:$D$56,D37)&gt;1),"⚠ Possível duplicata — confira data/produtor/produto","OK"))</f>
        <v/>
      </c>
    </row>
    <row r="38" hidden="1" outlineLevel="1" s="163">
      <c r="A38" s="372">
        <f>IF(AND(C38="",D38=""),"",ROW()-6)</f>
        <v/>
      </c>
      <c r="B38" s="373" t="n"/>
      <c r="C38" s="374" t="n"/>
      <c r="D38" s="374" t="n"/>
      <c r="E38" s="375" t="n"/>
      <c r="F38" s="375" t="n"/>
      <c r="G38" s="376">
        <f>IF(E38="",0,MAX(E38-F38,0))</f>
        <v/>
      </c>
      <c r="H38" s="376">
        <f>IF(D38="","",IFERROR(INDEX('Entrada de Dados'!$C$2:$U$2,MATCH(D38,'Entrada de Dados'!$C$5:$U$5,0))-3.67,"?"))</f>
        <v/>
      </c>
      <c r="I38" s="377">
        <f>IF(OR(D38="",H38="?"),0,G38*H38)</f>
        <v/>
      </c>
      <c r="J38" s="372">
        <f>IF(AND(C38="",D38="",E38="",F38=""),"",IF(AND(OR(C38&lt;&gt;"",D38&lt;&gt;""),E38=""),"⏳ PENDENTE (falta qtd. recebida)",IF(AND(E38&lt;&gt;"",OR(C38="",D38="")),"❌ FALTA PRODUTOR/PRODUTO",IF(COUNTIF($A$7:$A$56,A38)&gt;1,"❌ Nº DE RECEBIMENTO DUPLICADO",IF(AND(D38&lt;&gt;"",ISNA(MATCH(D38,'Entrada de Dados'!$C$5:$U$5,0))),"❌ PRODUTO NÃO RECONHECIDO",IF(F38&gt;E38,"❌ REJEITADO MAIOR QUE RECEBIDO",IF(AND(B38&lt;&gt;"",COUNTIFS($B$7:$B$56,B38,$C$7:$C$56,C38,$D$7:$D$56,D38)&gt;1),"⚠ Possível duplicata — confira data/produtor/produto","OK"))</f>
        <v/>
      </c>
    </row>
    <row r="39" hidden="1" outlineLevel="1" s="163">
      <c r="A39" s="372">
        <f>IF(AND(C39="",D39=""),"",ROW()-6)</f>
        <v/>
      </c>
      <c r="B39" s="373" t="n"/>
      <c r="C39" s="374" t="n"/>
      <c r="D39" s="374" t="n"/>
      <c r="E39" s="375" t="n"/>
      <c r="F39" s="375" t="n"/>
      <c r="G39" s="376">
        <f>IF(E39="",0,MAX(E39-F39,0))</f>
        <v/>
      </c>
      <c r="H39" s="376">
        <f>IF(D39="","",IFERROR(INDEX('Entrada de Dados'!$C$2:$U$2,MATCH(D39,'Entrada de Dados'!$C$5:$U$5,0))-3.67,"?"))</f>
        <v/>
      </c>
      <c r="I39" s="377">
        <f>IF(OR(D39="",H39="?"),0,G39*H39)</f>
        <v/>
      </c>
      <c r="J39" s="372">
        <f>IF(AND(C39="",D39="",E39="",F39=""),"",IF(AND(OR(C39&lt;&gt;"",D39&lt;&gt;""),E39=""),"⏳ PENDENTE (falta qtd. recebida)",IF(AND(E39&lt;&gt;"",OR(C39="",D39="")),"❌ FALTA PRODUTOR/PRODUTO",IF(COUNTIF($A$7:$A$56,A39)&gt;1,"❌ Nº DE RECEBIMENTO DUPLICADO",IF(AND(D39&lt;&gt;"",ISNA(MATCH(D39,'Entrada de Dados'!$C$5:$U$5,0))),"❌ PRODUTO NÃO RECONHECIDO",IF(F39&gt;E39,"❌ REJEITADO MAIOR QUE RECEBIDO",IF(AND(B39&lt;&gt;"",COUNTIFS($B$7:$B$56,B39,$C$7:$C$56,C39,$D$7:$D$56,D39)&gt;1),"⚠ Possível duplicata — confira data/produtor/produto","OK"))</f>
        <v/>
      </c>
    </row>
    <row r="40" hidden="1" outlineLevel="1" s="163">
      <c r="A40" s="372">
        <f>IF(AND(C40="",D40=""),"",ROW()-6)</f>
        <v/>
      </c>
      <c r="B40" s="373" t="n"/>
      <c r="C40" s="374" t="n"/>
      <c r="D40" s="374" t="n"/>
      <c r="E40" s="375" t="n"/>
      <c r="F40" s="375" t="n"/>
      <c r="G40" s="376">
        <f>IF(E40="",0,MAX(E40-F40,0))</f>
        <v/>
      </c>
      <c r="H40" s="376">
        <f>IF(D40="","",IFERROR(INDEX('Entrada de Dados'!$C$2:$U$2,MATCH(D40,'Entrada de Dados'!$C$5:$U$5,0))-3.67,"?"))</f>
        <v/>
      </c>
      <c r="I40" s="377">
        <f>IF(OR(D40="",H40="?"),0,G40*H40)</f>
        <v/>
      </c>
      <c r="J40" s="372">
        <f>IF(AND(C40="",D40="",E40="",F40=""),"",IF(AND(OR(C40&lt;&gt;"",D40&lt;&gt;""),E40=""),"⏳ PENDENTE (falta qtd. recebida)",IF(AND(E40&lt;&gt;"",OR(C40="",D40="")),"❌ FALTA PRODUTOR/PRODUTO",IF(COUNTIF($A$7:$A$56,A40)&gt;1,"❌ Nº DE RECEBIMENTO DUPLICADO",IF(AND(D40&lt;&gt;"",ISNA(MATCH(D40,'Entrada de Dados'!$C$5:$U$5,0))),"❌ PRODUTO NÃO RECONHECIDO",IF(F40&gt;E40,"❌ REJEITADO MAIOR QUE RECEBIDO",IF(AND(B40&lt;&gt;"",COUNTIFS($B$7:$B$56,B40,$C$7:$C$56,C40,$D$7:$D$56,D40)&gt;1),"⚠ Possível duplicata — confira data/produtor/produto","OK"))</f>
        <v/>
      </c>
    </row>
    <row r="41" hidden="1" outlineLevel="1" s="163">
      <c r="A41" s="372">
        <f>IF(AND(C41="",D41=""),"",ROW()-6)</f>
        <v/>
      </c>
      <c r="B41" s="373" t="n"/>
      <c r="C41" s="374" t="n"/>
      <c r="D41" s="374" t="n"/>
      <c r="E41" s="375" t="n"/>
      <c r="F41" s="375" t="n"/>
      <c r="G41" s="376">
        <f>IF(E41="",0,MAX(E41-F41,0))</f>
        <v/>
      </c>
      <c r="H41" s="376">
        <f>IF(D41="","",IFERROR(INDEX('Entrada de Dados'!$C$2:$U$2,MATCH(D41,'Entrada de Dados'!$C$5:$U$5,0))-3.67,"?"))</f>
        <v/>
      </c>
      <c r="I41" s="377">
        <f>IF(OR(D41="",H41="?"),0,G41*H41)</f>
        <v/>
      </c>
      <c r="J41" s="372">
        <f>IF(AND(C41="",D41="",E41="",F41=""),"",IF(AND(OR(C41&lt;&gt;"",D41&lt;&gt;""),E41=""),"⏳ PENDENTE (falta qtd. recebida)",IF(AND(E41&lt;&gt;"",OR(C41="",D41="")),"❌ FALTA PRODUTOR/PRODUTO",IF(COUNTIF($A$7:$A$56,A41)&gt;1,"❌ Nº DE RECEBIMENTO DUPLICADO",IF(AND(D41&lt;&gt;"",ISNA(MATCH(D41,'Entrada de Dados'!$C$5:$U$5,0))),"❌ PRODUTO NÃO RECONHECIDO",IF(F41&gt;E41,"❌ REJEITADO MAIOR QUE RECEBIDO",IF(AND(B41&lt;&gt;"",COUNTIFS($B$7:$B$56,B41,$C$7:$C$56,C41,$D$7:$D$56,D41)&gt;1),"⚠ Possível duplicata — confira data/produtor/produto","OK"))</f>
        <v/>
      </c>
    </row>
    <row r="42" hidden="1" outlineLevel="1" s="163">
      <c r="A42" s="372">
        <f>IF(AND(C42="",D42=""),"",ROW()-6)</f>
        <v/>
      </c>
      <c r="B42" s="373" t="n"/>
      <c r="C42" s="374" t="n"/>
      <c r="D42" s="374" t="n"/>
      <c r="E42" s="375" t="n"/>
      <c r="F42" s="375" t="n"/>
      <c r="G42" s="376">
        <f>IF(E42="",0,MAX(E42-F42,0))</f>
        <v/>
      </c>
      <c r="H42" s="376">
        <f>IF(D42="","",IFERROR(INDEX('Entrada de Dados'!$C$2:$U$2,MATCH(D42,'Entrada de Dados'!$C$5:$U$5,0))-3.67,"?"))</f>
        <v/>
      </c>
      <c r="I42" s="377">
        <f>IF(OR(D42="",H42="?"),0,G42*H42)</f>
        <v/>
      </c>
      <c r="J42" s="372">
        <f>IF(AND(C42="",D42="",E42="",F42=""),"",IF(AND(OR(C42&lt;&gt;"",D42&lt;&gt;""),E42=""),"⏳ PENDENTE (falta qtd. recebida)",IF(AND(E42&lt;&gt;"",OR(C42="",D42="")),"❌ FALTA PRODUTOR/PRODUTO",IF(COUNTIF($A$7:$A$56,A42)&gt;1,"❌ Nº DE RECEBIMENTO DUPLICADO",IF(AND(D42&lt;&gt;"",ISNA(MATCH(D42,'Entrada de Dados'!$C$5:$U$5,0))),"❌ PRODUTO NÃO RECONHECIDO",IF(F42&gt;E42,"❌ REJEITADO MAIOR QUE RECEBIDO",IF(AND(B42&lt;&gt;"",COUNTIFS($B$7:$B$56,B42,$C$7:$C$56,C42,$D$7:$D$56,D42)&gt;1),"⚠ Possível duplicata — confira data/produtor/produto","OK"))</f>
        <v/>
      </c>
    </row>
    <row r="43" hidden="1" outlineLevel="1" s="163">
      <c r="A43" s="372">
        <f>IF(AND(C43="",D43=""),"",ROW()-6)</f>
        <v/>
      </c>
      <c r="B43" s="373" t="n"/>
      <c r="C43" s="374" t="n"/>
      <c r="D43" s="374" t="n"/>
      <c r="E43" s="375" t="n"/>
      <c r="F43" s="375" t="n"/>
      <c r="G43" s="376">
        <f>IF(E43="",0,MAX(E43-F43,0))</f>
        <v/>
      </c>
      <c r="H43" s="376">
        <f>IF(D43="","",IFERROR(INDEX('Entrada de Dados'!$C$2:$U$2,MATCH(D43,'Entrada de Dados'!$C$5:$U$5,0))-3.67,"?"))</f>
        <v/>
      </c>
      <c r="I43" s="377">
        <f>IF(OR(D43="",H43="?"),0,G43*H43)</f>
        <v/>
      </c>
      <c r="J43" s="372">
        <f>IF(AND(C43="",D43="",E43="",F43=""),"",IF(AND(OR(C43&lt;&gt;"",D43&lt;&gt;""),E43=""),"⏳ PENDENTE (falta qtd. recebida)",IF(AND(E43&lt;&gt;"",OR(C43="",D43="")),"❌ FALTA PRODUTOR/PRODUTO",IF(COUNTIF($A$7:$A$56,A43)&gt;1,"❌ Nº DE RECEBIMENTO DUPLICADO",IF(AND(D43&lt;&gt;"",ISNA(MATCH(D43,'Entrada de Dados'!$C$5:$U$5,0))),"❌ PRODUTO NÃO RECONHECIDO",IF(F43&gt;E43,"❌ REJEITADO MAIOR QUE RECEBIDO",IF(AND(B43&lt;&gt;"",COUNTIFS($B$7:$B$56,B43,$C$7:$C$56,C43,$D$7:$D$56,D43)&gt;1),"⚠ Possível duplicata — confira data/produtor/produto","OK"))</f>
        <v/>
      </c>
    </row>
    <row r="44" hidden="1" outlineLevel="1" s="163">
      <c r="A44" s="372">
        <f>IF(AND(C44="",D44=""),"",ROW()-6)</f>
        <v/>
      </c>
      <c r="B44" s="373" t="n"/>
      <c r="C44" s="374" t="n"/>
      <c r="D44" s="374" t="n"/>
      <c r="E44" s="375" t="n"/>
      <c r="F44" s="375" t="n"/>
      <c r="G44" s="376">
        <f>IF(E44="",0,MAX(E44-F44,0))</f>
        <v/>
      </c>
      <c r="H44" s="376">
        <f>IF(D44="","",IFERROR(INDEX('Entrada de Dados'!$C$2:$U$2,MATCH(D44,'Entrada de Dados'!$C$5:$U$5,0))-3.67,"?"))</f>
        <v/>
      </c>
      <c r="I44" s="377">
        <f>IF(OR(D44="",H44="?"),0,G44*H44)</f>
        <v/>
      </c>
      <c r="J44" s="372">
        <f>IF(AND(C44="",D44="",E44="",F44=""),"",IF(AND(OR(C44&lt;&gt;"",D44&lt;&gt;""),E44=""),"⏳ PENDENTE (falta qtd. recebida)",IF(AND(E44&lt;&gt;"",OR(C44="",D44="")),"❌ FALTA PRODUTOR/PRODUTO",IF(COUNTIF($A$7:$A$56,A44)&gt;1,"❌ Nº DE RECEBIMENTO DUPLICADO",IF(AND(D44&lt;&gt;"",ISNA(MATCH(D44,'Entrada de Dados'!$C$5:$U$5,0))),"❌ PRODUTO NÃO RECONHECIDO",IF(F44&gt;E44,"❌ REJEITADO MAIOR QUE RECEBIDO",IF(AND(B44&lt;&gt;"",COUNTIFS($B$7:$B$56,B44,$C$7:$C$56,C44,$D$7:$D$56,D44)&gt;1),"⚠ Possível duplicata — confira data/produtor/produto","OK"))</f>
        <v/>
      </c>
    </row>
    <row r="45" hidden="1" outlineLevel="1" s="163">
      <c r="A45" s="372">
        <f>IF(AND(C45="",D45=""),"",ROW()-6)</f>
        <v/>
      </c>
      <c r="B45" s="373" t="n"/>
      <c r="C45" s="374" t="n"/>
      <c r="D45" s="374" t="n"/>
      <c r="E45" s="375" t="n"/>
      <c r="F45" s="375" t="n"/>
      <c r="G45" s="376">
        <f>IF(E45="",0,MAX(E45-F45,0))</f>
        <v/>
      </c>
      <c r="H45" s="376">
        <f>IF(D45="","",IFERROR(INDEX('Entrada de Dados'!$C$2:$U$2,MATCH(D45,'Entrada de Dados'!$C$5:$U$5,0))-3.67,"?"))</f>
        <v/>
      </c>
      <c r="I45" s="377">
        <f>IF(OR(D45="",H45="?"),0,G45*H45)</f>
        <v/>
      </c>
      <c r="J45" s="372">
        <f>IF(AND(C45="",D45="",E45="",F45=""),"",IF(AND(OR(C45&lt;&gt;"",D45&lt;&gt;""),E45=""),"⏳ PENDENTE (falta qtd. recebida)",IF(AND(E45&lt;&gt;"",OR(C45="",D45="")),"❌ FALTA PRODUTOR/PRODUTO",IF(COUNTIF($A$7:$A$56,A45)&gt;1,"❌ Nº DE RECEBIMENTO DUPLICADO",IF(AND(D45&lt;&gt;"",ISNA(MATCH(D45,'Entrada de Dados'!$C$5:$U$5,0))),"❌ PRODUTO NÃO RECONHECIDO",IF(F45&gt;E45,"❌ REJEITADO MAIOR QUE RECEBIDO",IF(AND(B45&lt;&gt;"",COUNTIFS($B$7:$B$56,B45,$C$7:$C$56,C45,$D$7:$D$56,D45)&gt;1),"⚠ Possível duplicata — confira data/produtor/produto","OK"))</f>
        <v/>
      </c>
    </row>
    <row r="46" hidden="1" outlineLevel="1" s="163">
      <c r="A46" s="372">
        <f>IF(AND(C46="",D46=""),"",ROW()-6)</f>
        <v/>
      </c>
      <c r="B46" s="373" t="n"/>
      <c r="C46" s="374" t="n"/>
      <c r="D46" s="374" t="n"/>
      <c r="E46" s="375" t="n"/>
      <c r="F46" s="375" t="n"/>
      <c r="G46" s="376">
        <f>IF(E46="",0,MAX(E46-F46,0))</f>
        <v/>
      </c>
      <c r="H46" s="376">
        <f>IF(D46="","",IFERROR(INDEX('Entrada de Dados'!$C$2:$U$2,MATCH(D46,'Entrada de Dados'!$C$5:$U$5,0))-3.67,"?"))</f>
        <v/>
      </c>
      <c r="I46" s="377">
        <f>IF(OR(D46="",H46="?"),0,G46*H46)</f>
        <v/>
      </c>
      <c r="J46" s="372">
        <f>IF(AND(C46="",D46="",E46="",F46=""),"",IF(AND(OR(C46&lt;&gt;"",D46&lt;&gt;""),E46=""),"⏳ PENDENTE (falta qtd. recebida)",IF(AND(E46&lt;&gt;"",OR(C46="",D46="")),"❌ FALTA PRODUTOR/PRODUTO",IF(COUNTIF($A$7:$A$56,A46)&gt;1,"❌ Nº DE RECEBIMENTO DUPLICADO",IF(AND(D46&lt;&gt;"",ISNA(MATCH(D46,'Entrada de Dados'!$C$5:$U$5,0))),"❌ PRODUTO NÃO RECONHECIDO",IF(F46&gt;E46,"❌ REJEITADO MAIOR QUE RECEBIDO",IF(AND(B46&lt;&gt;"",COUNTIFS($B$7:$B$56,B46,$C$7:$C$56,C46,$D$7:$D$56,D46)&gt;1),"⚠ Possível duplicata — confira data/produtor/produto","OK"))</f>
        <v/>
      </c>
    </row>
    <row r="47" hidden="1" outlineLevel="1" s="163">
      <c r="A47" s="372">
        <f>IF(AND(C47="",D47=""),"",ROW()-6)</f>
        <v/>
      </c>
      <c r="B47" s="373" t="n"/>
      <c r="C47" s="374" t="n"/>
      <c r="D47" s="374" t="n"/>
      <c r="E47" s="375" t="n"/>
      <c r="F47" s="375" t="n"/>
      <c r="G47" s="376">
        <f>IF(E47="",0,MAX(E47-F47,0))</f>
        <v/>
      </c>
      <c r="H47" s="376">
        <f>IF(D47="","",IFERROR(INDEX('Entrada de Dados'!$C$2:$U$2,MATCH(D47,'Entrada de Dados'!$C$5:$U$5,0))-3.67,"?"))</f>
        <v/>
      </c>
      <c r="I47" s="377">
        <f>IF(OR(D47="",H47="?"),0,G47*H47)</f>
        <v/>
      </c>
      <c r="J47" s="372">
        <f>IF(AND(C47="",D47="",E47="",F47=""),"",IF(AND(OR(C47&lt;&gt;"",D47&lt;&gt;""),E47=""),"⏳ PENDENTE (falta qtd. recebida)",IF(AND(E47&lt;&gt;"",OR(C47="",D47="")),"❌ FALTA PRODUTOR/PRODUTO",IF(COUNTIF($A$7:$A$56,A47)&gt;1,"❌ Nº DE RECEBIMENTO DUPLICADO",IF(AND(D47&lt;&gt;"",ISNA(MATCH(D47,'Entrada de Dados'!$C$5:$U$5,0))),"❌ PRODUTO NÃO RECONHECIDO",IF(F47&gt;E47,"❌ REJEITADO MAIOR QUE RECEBIDO",IF(AND(B47&lt;&gt;"",COUNTIFS($B$7:$B$56,B47,$C$7:$C$56,C47,$D$7:$D$56,D47)&gt;1),"⚠ Possível duplicata — confira data/produtor/produto","OK"))</f>
        <v/>
      </c>
    </row>
    <row r="48" hidden="1" outlineLevel="1" s="163">
      <c r="A48" s="372">
        <f>IF(AND(C48="",D48=""),"",ROW()-6)</f>
        <v/>
      </c>
      <c r="B48" s="373" t="n"/>
      <c r="C48" s="374" t="n"/>
      <c r="D48" s="374" t="n"/>
      <c r="E48" s="375" t="n"/>
      <c r="F48" s="375" t="n"/>
      <c r="G48" s="376">
        <f>IF(E48="",0,MAX(E48-F48,0))</f>
        <v/>
      </c>
      <c r="H48" s="376">
        <f>IF(D48="","",IFERROR(INDEX('Entrada de Dados'!$C$2:$U$2,MATCH(D48,'Entrada de Dados'!$C$5:$U$5,0))-3.67,"?"))</f>
        <v/>
      </c>
      <c r="I48" s="377">
        <f>IF(OR(D48="",H48="?"),0,G48*H48)</f>
        <v/>
      </c>
      <c r="J48" s="372">
        <f>IF(AND(C48="",D48="",E48="",F48=""),"",IF(AND(OR(C48&lt;&gt;"",D48&lt;&gt;""),E48=""),"⏳ PENDENTE (falta qtd. recebida)",IF(AND(E48&lt;&gt;"",OR(C48="",D48="")),"❌ FALTA PRODUTOR/PRODUTO",IF(COUNTIF($A$7:$A$56,A48)&gt;1,"❌ Nº DE RECEBIMENTO DUPLICADO",IF(AND(D48&lt;&gt;"",ISNA(MATCH(D48,'Entrada de Dados'!$C$5:$U$5,0))),"❌ PRODUTO NÃO RECONHECIDO",IF(F48&gt;E48,"❌ REJEITADO MAIOR QUE RECEBIDO",IF(AND(B48&lt;&gt;"",COUNTIFS($B$7:$B$56,B48,$C$7:$C$56,C48,$D$7:$D$56,D48)&gt;1),"⚠ Possível duplicata — confira data/produtor/produto","OK"))</f>
        <v/>
      </c>
    </row>
    <row r="49" hidden="1" outlineLevel="1" s="163">
      <c r="A49" s="372">
        <f>IF(AND(C49="",D49=""),"",ROW()-6)</f>
        <v/>
      </c>
      <c r="B49" s="373" t="n"/>
      <c r="C49" s="374" t="n"/>
      <c r="D49" s="374" t="n"/>
      <c r="E49" s="375" t="n"/>
      <c r="F49" s="375" t="n"/>
      <c r="G49" s="376">
        <f>IF(E49="",0,MAX(E49-F49,0))</f>
        <v/>
      </c>
      <c r="H49" s="376">
        <f>IF(D49="","",IFERROR(INDEX('Entrada de Dados'!$C$2:$U$2,MATCH(D49,'Entrada de Dados'!$C$5:$U$5,0))-3.67,"?"))</f>
        <v/>
      </c>
      <c r="I49" s="377">
        <f>IF(OR(D49="",H49="?"),0,G49*H49)</f>
        <v/>
      </c>
      <c r="J49" s="372">
        <f>IF(AND(C49="",D49="",E49="",F49=""),"",IF(AND(OR(C49&lt;&gt;"",D49&lt;&gt;""),E49=""),"⏳ PENDENTE (falta qtd. recebida)",IF(AND(E49&lt;&gt;"",OR(C49="",D49="")),"❌ FALTA PRODUTOR/PRODUTO",IF(COUNTIF($A$7:$A$56,A49)&gt;1,"❌ Nº DE RECEBIMENTO DUPLICADO",IF(AND(D49&lt;&gt;"",ISNA(MATCH(D49,'Entrada de Dados'!$C$5:$U$5,0))),"❌ PRODUTO NÃO RECONHECIDO",IF(F49&gt;E49,"❌ REJEITADO MAIOR QUE RECEBIDO",IF(AND(B49&lt;&gt;"",COUNTIFS($B$7:$B$56,B49,$C$7:$C$56,C49,$D$7:$D$56,D49)&gt;1),"⚠ Possível duplicata — confira data/produtor/produto","OK"))</f>
        <v/>
      </c>
    </row>
    <row r="50" hidden="1" outlineLevel="1" s="163">
      <c r="A50" s="372">
        <f>IF(AND(C50="",D50=""),"",ROW()-6)</f>
        <v/>
      </c>
      <c r="B50" s="373" t="n"/>
      <c r="C50" s="374" t="n"/>
      <c r="D50" s="374" t="n"/>
      <c r="E50" s="375" t="n"/>
      <c r="F50" s="375" t="n"/>
      <c r="G50" s="376">
        <f>IF(E50="",0,MAX(E50-F50,0))</f>
        <v/>
      </c>
      <c r="H50" s="376">
        <f>IF(D50="","",IFERROR(INDEX('Entrada de Dados'!$C$2:$U$2,MATCH(D50,'Entrada de Dados'!$C$5:$U$5,0))-3.67,"?"))</f>
        <v/>
      </c>
      <c r="I50" s="377">
        <f>IF(OR(D50="",H50="?"),0,G50*H50)</f>
        <v/>
      </c>
      <c r="J50" s="372">
        <f>IF(AND(C50="",D50="",E50="",F50=""),"",IF(AND(OR(C50&lt;&gt;"",D50&lt;&gt;""),E50=""),"⏳ PENDENTE (falta qtd. recebida)",IF(AND(E50&lt;&gt;"",OR(C50="",D50="")),"❌ FALTA PRODUTOR/PRODUTO",IF(COUNTIF($A$7:$A$56,A50)&gt;1,"❌ Nº DE RECEBIMENTO DUPLICADO",IF(AND(D50&lt;&gt;"",ISNA(MATCH(D50,'Entrada de Dados'!$C$5:$U$5,0))),"❌ PRODUTO NÃO RECONHECIDO",IF(F50&gt;E50,"❌ REJEITADO MAIOR QUE RECEBIDO",IF(AND(B50&lt;&gt;"",COUNTIFS($B$7:$B$56,B50,$C$7:$C$56,C50,$D$7:$D$56,D50)&gt;1),"⚠ Possível duplicata — confira data/produtor/produto","OK"))</f>
        <v/>
      </c>
    </row>
    <row r="51" hidden="1" outlineLevel="1" s="163">
      <c r="A51" s="372">
        <f>IF(AND(C51="",D51=""),"",ROW()-6)</f>
        <v/>
      </c>
      <c r="B51" s="373" t="n"/>
      <c r="C51" s="374" t="n"/>
      <c r="D51" s="374" t="n"/>
      <c r="E51" s="375" t="n"/>
      <c r="F51" s="375" t="n"/>
      <c r="G51" s="376">
        <f>IF(E51="",0,MAX(E51-F51,0))</f>
        <v/>
      </c>
      <c r="H51" s="376">
        <f>IF(D51="","",IFERROR(INDEX('Entrada de Dados'!$C$2:$U$2,MATCH(D51,'Entrada de Dados'!$C$5:$U$5,0))-3.67,"?"))</f>
        <v/>
      </c>
      <c r="I51" s="377">
        <f>IF(OR(D51="",H51="?"),0,G51*H51)</f>
        <v/>
      </c>
      <c r="J51" s="372">
        <f>IF(AND(C51="",D51="",E51="",F51=""),"",IF(AND(OR(C51&lt;&gt;"",D51&lt;&gt;""),E51=""),"⏳ PENDENTE (falta qtd. recebida)",IF(AND(E51&lt;&gt;"",OR(C51="",D51="")),"❌ FALTA PRODUTOR/PRODUTO",IF(COUNTIF($A$7:$A$56,A51)&gt;1,"❌ Nº DE RECEBIMENTO DUPLICADO",IF(AND(D51&lt;&gt;"",ISNA(MATCH(D51,'Entrada de Dados'!$C$5:$U$5,0))),"❌ PRODUTO NÃO RECONHECIDO",IF(F51&gt;E51,"❌ REJEITADO MAIOR QUE RECEBIDO",IF(AND(B51&lt;&gt;"",COUNTIFS($B$7:$B$56,B51,$C$7:$C$56,C51,$D$7:$D$56,D51)&gt;1),"⚠ Possível duplicata — confira data/produtor/produto","OK"))</f>
        <v/>
      </c>
    </row>
    <row r="52" hidden="1" outlineLevel="1" s="163">
      <c r="A52" s="372">
        <f>IF(AND(C52="",D52=""),"",ROW()-6)</f>
        <v/>
      </c>
      <c r="B52" s="373" t="n"/>
      <c r="C52" s="374" t="n"/>
      <c r="D52" s="374" t="n"/>
      <c r="E52" s="375" t="n"/>
      <c r="F52" s="375" t="n"/>
      <c r="G52" s="376">
        <f>IF(E52="",0,MAX(E52-F52,0))</f>
        <v/>
      </c>
      <c r="H52" s="376">
        <f>IF(D52="","",IFERROR(INDEX('Entrada de Dados'!$C$2:$U$2,MATCH(D52,'Entrada de Dados'!$C$5:$U$5,0))-3.67,"?"))</f>
        <v/>
      </c>
      <c r="I52" s="377">
        <f>IF(OR(D52="",H52="?"),0,G52*H52)</f>
        <v/>
      </c>
      <c r="J52" s="372">
        <f>IF(AND(C52="",D52="",E52="",F52=""),"",IF(AND(OR(C52&lt;&gt;"",D52&lt;&gt;""),E52=""),"⏳ PENDENTE (falta qtd. recebida)",IF(AND(E52&lt;&gt;"",OR(C52="",D52="")),"❌ FALTA PRODUTOR/PRODUTO",IF(COUNTIF($A$7:$A$56,A52)&gt;1,"❌ Nº DE RECEBIMENTO DUPLICADO",IF(AND(D52&lt;&gt;"",ISNA(MATCH(D52,'Entrada de Dados'!$C$5:$U$5,0))),"❌ PRODUTO NÃO RECONHECIDO",IF(F52&gt;E52,"❌ REJEITADO MAIOR QUE RECEBIDO",IF(AND(B52&lt;&gt;"",COUNTIFS($B$7:$B$56,B52,$C$7:$C$56,C52,$D$7:$D$56,D52)&gt;1),"⚠ Possível duplicata — confira data/produtor/produto","OK"))</f>
        <v/>
      </c>
    </row>
    <row r="53" hidden="1" outlineLevel="1" s="163">
      <c r="A53" s="372">
        <f>IF(AND(C53="",D53=""),"",ROW()-6)</f>
        <v/>
      </c>
      <c r="B53" s="373" t="n"/>
      <c r="C53" s="374" t="n"/>
      <c r="D53" s="374" t="n"/>
      <c r="E53" s="375" t="n"/>
      <c r="F53" s="375" t="n"/>
      <c r="G53" s="376">
        <f>IF(E53="",0,MAX(E53-F53,0))</f>
        <v/>
      </c>
      <c r="H53" s="376">
        <f>IF(D53="","",IFERROR(INDEX('Entrada de Dados'!$C$2:$U$2,MATCH(D53,'Entrada de Dados'!$C$5:$U$5,0))-3.67,"?"))</f>
        <v/>
      </c>
      <c r="I53" s="377">
        <f>IF(OR(D53="",H53="?"),0,G53*H53)</f>
        <v/>
      </c>
      <c r="J53" s="372">
        <f>IF(AND(C53="",D53="",E53="",F53=""),"",IF(AND(OR(C53&lt;&gt;"",D53&lt;&gt;""),E53=""),"⏳ PENDENTE (falta qtd. recebida)",IF(AND(E53&lt;&gt;"",OR(C53="",D53="")),"❌ FALTA PRODUTOR/PRODUTO",IF(COUNTIF($A$7:$A$56,A53)&gt;1,"❌ Nº DE RECEBIMENTO DUPLICADO",IF(AND(D53&lt;&gt;"",ISNA(MATCH(D53,'Entrada de Dados'!$C$5:$U$5,0))),"❌ PRODUTO NÃO RECONHECIDO",IF(F53&gt;E53,"❌ REJEITADO MAIOR QUE RECEBIDO",IF(AND(B53&lt;&gt;"",COUNTIFS($B$7:$B$56,B53,$C$7:$C$56,C53,$D$7:$D$56,D53)&gt;1),"⚠ Possível duplicata — confira data/produtor/produto","OK"))</f>
        <v/>
      </c>
    </row>
    <row r="54" hidden="1" outlineLevel="1" s="163">
      <c r="A54" s="372">
        <f>IF(AND(C54="",D54=""),"",ROW()-6)</f>
        <v/>
      </c>
      <c r="B54" s="373" t="n"/>
      <c r="C54" s="374" t="n"/>
      <c r="D54" s="374" t="n"/>
      <c r="E54" s="375" t="n"/>
      <c r="F54" s="375" t="n"/>
      <c r="G54" s="376">
        <f>IF(E54="",0,MAX(E54-F54,0))</f>
        <v/>
      </c>
      <c r="H54" s="376">
        <f>IF(D54="","",IFERROR(INDEX('Entrada de Dados'!$C$2:$U$2,MATCH(D54,'Entrada de Dados'!$C$5:$U$5,0))-3.67,"?"))</f>
        <v/>
      </c>
      <c r="I54" s="377">
        <f>IF(OR(D54="",H54="?"),0,G54*H54)</f>
        <v/>
      </c>
      <c r="J54" s="372">
        <f>IF(AND(C54="",D54="",E54="",F54=""),"",IF(AND(OR(C54&lt;&gt;"",D54&lt;&gt;""),E54=""),"⏳ PENDENTE (falta qtd. recebida)",IF(AND(E54&lt;&gt;"",OR(C54="",D54="")),"❌ FALTA PRODUTOR/PRODUTO",IF(COUNTIF($A$7:$A$56,A54)&gt;1,"❌ Nº DE RECEBIMENTO DUPLICADO",IF(AND(D54&lt;&gt;"",ISNA(MATCH(D54,'Entrada de Dados'!$C$5:$U$5,0))),"❌ PRODUTO NÃO RECONHECIDO",IF(F54&gt;E54,"❌ REJEITADO MAIOR QUE RECEBIDO",IF(AND(B54&lt;&gt;"",COUNTIFS($B$7:$B$56,B54,$C$7:$C$56,C54,$D$7:$D$56,D54)&gt;1),"⚠ Possível duplicata — confira data/produtor/produto","OK"))</f>
        <v/>
      </c>
    </row>
    <row r="55" hidden="1" outlineLevel="1" s="163">
      <c r="A55" s="372">
        <f>IF(AND(C55="",D55=""),"",ROW()-6)</f>
        <v/>
      </c>
      <c r="B55" s="373" t="n"/>
      <c r="C55" s="374" t="n"/>
      <c r="D55" s="374" t="n"/>
      <c r="E55" s="375" t="n"/>
      <c r="F55" s="375" t="n"/>
      <c r="G55" s="376">
        <f>IF(E55="",0,MAX(E55-F55,0))</f>
        <v/>
      </c>
      <c r="H55" s="376">
        <f>IF(D55="","",IFERROR(INDEX('Entrada de Dados'!$C$2:$U$2,MATCH(D55,'Entrada de Dados'!$C$5:$U$5,0))-3.67,"?"))</f>
        <v/>
      </c>
      <c r="I55" s="377">
        <f>IF(OR(D55="",H55="?"),0,G55*H55)</f>
        <v/>
      </c>
      <c r="J55" s="372">
        <f>IF(AND(C55="",D55="",E55="",F55=""),"",IF(AND(OR(C55&lt;&gt;"",D55&lt;&gt;""),E55=""),"⏳ PENDENTE (falta qtd. recebida)",IF(AND(E55&lt;&gt;"",OR(C55="",D55="")),"❌ FALTA PRODUTOR/PRODUTO",IF(COUNTIF($A$7:$A$56,A55)&gt;1,"❌ Nº DE RECEBIMENTO DUPLICADO",IF(AND(D55&lt;&gt;"",ISNA(MATCH(D55,'Entrada de Dados'!$C$5:$U$5,0))),"❌ PRODUTO NÃO RECONHECIDO",IF(F55&gt;E55,"❌ REJEITADO MAIOR QUE RECEBIDO",IF(AND(B55&lt;&gt;"",COUNTIFS($B$7:$B$56,B55,$C$7:$C$56,C55,$D$7:$D$56,D55)&gt;1),"⚠ Possível duplicata — confira data/produtor/produto","OK"))</f>
        <v/>
      </c>
    </row>
    <row r="56" hidden="1" outlineLevel="1" s="163">
      <c r="A56" s="372">
        <f>IF(AND(C56="",D56=""),"",ROW()-6)</f>
        <v/>
      </c>
      <c r="B56" s="373" t="n"/>
      <c r="C56" s="374" t="n"/>
      <c r="D56" s="374" t="n"/>
      <c r="E56" s="375" t="n"/>
      <c r="F56" s="375" t="n"/>
      <c r="G56" s="376">
        <f>IF(E56="",0,MAX(E56-F56,0))</f>
        <v/>
      </c>
      <c r="H56" s="376">
        <f>IF(D56="","",IFERROR(INDEX('Entrada de Dados'!$C$2:$U$2,MATCH(D56,'Entrada de Dados'!$C$5:$U$5,0))-3.67,"?"))</f>
        <v/>
      </c>
      <c r="I56" s="377">
        <f>IF(OR(D56="",H56="?"),0,G56*H56)</f>
        <v/>
      </c>
      <c r="J56" s="372">
        <f>IF(AND(C56="",D56="",E56="",F56=""),"",IF(AND(OR(C56&lt;&gt;"",D56&lt;&gt;""),E56=""),"⏳ PENDENTE (falta qtd. recebida)",IF(AND(E56&lt;&gt;"",OR(C56="",D56="")),"❌ FALTA PRODUTOR/PRODUTO",IF(COUNTIF($A$7:$A$56,A56)&gt;1,"❌ Nº DE RECEBIMENTO DUPLICADO",IF(AND(D56&lt;&gt;"",ISNA(MATCH(D56,'Entrada de Dados'!$C$5:$U$5,0))),"❌ PRODUTO NÃO RECONHECIDO",IF(F56&gt;E56,"❌ REJEITADO MAIOR QUE RECEBIDO",IF(AND(B56&lt;&gt;"",COUNTIFS($B$7:$B$56,B56,$C$7:$C$56,C56,$D$7:$D$56,D56)&gt;1),"⚠ Possível duplicata — confira data/produtor/produto","OK"))</f>
        <v/>
      </c>
    </row>
    <row r="57">
      <c r="A57" s="399" t="inlineStr">
        <is>
          <t>Mostrando as 15 primeiras linhas. Clique no "+" à esquerda da grade pra abrir mais linhas de recebimento, se precisar.</t>
        </is>
      </c>
    </row>
    <row r="58">
      <c r="A58" s="378" t="inlineStr">
        <is>
          <t>PASSO 2 — ENTREGA ÀS ESCOLAS — escolha o Nº do recebimento; produtor e produto vêm sozinhos</t>
        </is>
      </c>
    </row>
    <row r="59" ht="32" customHeight="1" s="163">
      <c r="A59" s="379" t="inlineStr">
        <is>
          <t>Nº do
recebimento</t>
        </is>
      </c>
      <c r="B59" s="379" t="inlineStr">
        <is>
          <t>Produtor
(automático)</t>
        </is>
      </c>
      <c r="C59" s="379" t="inlineStr">
        <is>
          <t>Produto
(automático)</t>
        </is>
      </c>
      <c r="D59" s="379" t="inlineStr">
        <is>
          <t>Código
Escola</t>
        </is>
      </c>
      <c r="E59" s="379" t="inlineStr">
        <is>
          <t>Escola
(automático)</t>
        </is>
      </c>
      <c r="F59" s="379" t="inlineStr">
        <is>
          <t>Data</t>
        </is>
      </c>
      <c r="G59" s="379" t="inlineStr">
        <is>
          <t>Qtd. apresentada
à escola (kg)</t>
        </is>
      </c>
      <c r="H59" s="379" t="inlineStr">
        <is>
          <t>Qtd. rejeitada
na escola (kg)</t>
        </is>
      </c>
      <c r="I59" s="379" t="inlineStr">
        <is>
          <t>Aceito na escola
(kg) - reduz falta</t>
        </is>
      </c>
      <c r="J59" s="379" t="inlineStr">
        <is>
          <t>Cód.
Motivo</t>
        </is>
      </c>
      <c r="K59" s="379" t="inlineStr">
        <is>
          <t>Situação / Alerta</t>
        </is>
      </c>
      <c r="L59" s="379" t="inlineStr">
        <is>
          <t>Item
Nº</t>
        </is>
      </c>
    </row>
    <row r="60">
      <c r="A60" s="380" t="n"/>
      <c r="B60" s="372">
        <f>IF(A60="","",IFERROR(INDEX($C$7:$C$56,MATCH(A60,$A$7:$A$56,0)),"Nº INVÁLIDO"))</f>
        <v/>
      </c>
      <c r="C60" s="372">
        <f>IF(A60="","",IFERROR(INDEX($D$7:$D$56,MATCH(A60,$A$7:$A$56,0)),"Nº INVÁLIDO"))</f>
        <v/>
      </c>
      <c r="D60" s="380" t="n"/>
      <c r="E60" s="381">
        <f>IF(D60="","",IFERROR(INDEX('Entrada de Dados'!$B$6:$B$196,MATCH(D60,'Entrada de Dados'!$A$6:$A$196,0)),"CÓDIGO INVÁLIDO"))</f>
        <v/>
      </c>
      <c r="F60" s="373" t="n"/>
      <c r="G60" s="375" t="n"/>
      <c r="H60" s="375" t="n"/>
      <c r="I60" s="376">
        <f>IF(G60="",0,MAX(G60-H60,0))</f>
        <v/>
      </c>
      <c r="J60" s="380" t="n"/>
      <c r="K60" s="162">
        <f>IF(AND(A60="",D60="",G60="",H60=""),"",IF(AND(OR(A60&lt;&gt;"",D60&lt;&gt;""),G60=""),"⏳ PENDENTE (falta qtd. apresentada)",IF(AND(G60&lt;&gt;"",OR(A60="",D60="")),"❌ FALTA Nº RECEBIMENTO/ESCOLA",IF(B60="Nº INVÁLIDO","❌ Nº DE RECEBIMENTO INVÁLIDO",IF(E60="CÓDIGO INVÁLIDO","❌ CÓDIGO DE ESCOLA INVÁLIDO",IF(H60&gt;G60,"❌ REJEITADO MAIOR QUE APRESENTADO",IF(AND(A60&lt;&gt;"",SUMIF($A$60:$A$559,A60,$G$60:$G$559)&gt;INDEX($G$7:$G$56,MATCH(A60,$A$7:$A$56,0))+0.01),"❌ DISTRIBUÍDO MAIS QUE O ACEITO NESSE RECEBIMENTO","OK")))))))</f>
        <v/>
      </c>
      <c r="L60" s="389">
        <f>IF(A60="","",ROW()-59)</f>
        <v/>
      </c>
    </row>
    <row r="61">
      <c r="A61" s="380" t="n"/>
      <c r="B61" s="372">
        <f>IF(A61="","",IFERROR(INDEX($C$7:$C$56,MATCH(A61,$A$7:$A$56,0)),"Nº INVÁLIDO"))</f>
        <v/>
      </c>
      <c r="C61" s="372">
        <f>IF(A61="","",IFERROR(INDEX($D$7:$D$56,MATCH(A61,$A$7:$A$56,0)),"Nº INVÁLIDO"))</f>
        <v/>
      </c>
      <c r="D61" s="380" t="n"/>
      <c r="E61" s="381">
        <f>IF(D61="","",IFERROR(INDEX('Entrada de Dados'!$B$6:$B$196,MATCH(D61,'Entrada de Dados'!$A$6:$A$196,0)),"CÓDIGO INVÁLIDO"))</f>
        <v/>
      </c>
      <c r="F61" s="373" t="n"/>
      <c r="G61" s="375" t="n"/>
      <c r="H61" s="375" t="n"/>
      <c r="I61" s="376">
        <f>IF(G61="",0,MAX(G61-H61,0))</f>
        <v/>
      </c>
      <c r="J61" s="380" t="n"/>
      <c r="K61" s="162">
        <f>IF(AND(A61="",D61="",G61="",H61=""),"",IF(AND(OR(A61&lt;&gt;"",D61&lt;&gt;""),G61=""),"⏳ PENDENTE (falta qtd. apresentada)",IF(AND(G61&lt;&gt;"",OR(A61="",D61="")),"❌ FALTA Nº RECEBIMENTO/ESCOLA",IF(B61="Nº INVÁLIDO","❌ Nº DE RECEBIMENTO INVÁLIDO",IF(E61="CÓDIGO INVÁLIDO","❌ CÓDIGO DE ESCOLA INVÁLIDO",IF(H61&gt;G61,"❌ REJEITADO MAIOR QUE APRESENTADO",IF(AND(A61&lt;&gt;"",SUMIF($A$60:$A$559,A61,$G$60:$G$559)&gt;INDEX($G$7:$G$56,MATCH(A61,$A$7:$A$56,0))+0.01),"❌ DISTRIBUÍDO MAIS QUE O ACEITO NESSE RECEBIMENTO","OK")))))))</f>
        <v/>
      </c>
      <c r="L61" s="389">
        <f>IF(A61="","",ROW()-59)</f>
        <v/>
      </c>
    </row>
    <row r="62">
      <c r="A62" s="380" t="n"/>
      <c r="B62" s="372">
        <f>IF(A62="","",IFERROR(INDEX($C$7:$C$56,MATCH(A62,$A$7:$A$56,0)),"Nº INVÁLIDO"))</f>
        <v/>
      </c>
      <c r="C62" s="372">
        <f>IF(A62="","",IFERROR(INDEX($D$7:$D$56,MATCH(A62,$A$7:$A$56,0)),"Nº INVÁLIDO"))</f>
        <v/>
      </c>
      <c r="D62" s="380" t="n"/>
      <c r="E62" s="381">
        <f>IF(D62="","",IFERROR(INDEX('Entrada de Dados'!$B$6:$B$196,MATCH(D62,'Entrada de Dados'!$A$6:$A$196,0)),"CÓDIGO INVÁLIDO"))</f>
        <v/>
      </c>
      <c r="F62" s="373" t="n"/>
      <c r="G62" s="375" t="n"/>
      <c r="H62" s="375" t="n"/>
      <c r="I62" s="376">
        <f>IF(G62="",0,MAX(G62-H62,0))</f>
        <v/>
      </c>
      <c r="J62" s="380" t="n"/>
      <c r="K62" s="162">
        <f>IF(AND(A62="",D62="",G62="",H62=""),"",IF(AND(OR(A62&lt;&gt;"",D62&lt;&gt;""),G62=""),"⏳ PENDENTE (falta qtd. apresentada)",IF(AND(G62&lt;&gt;"",OR(A62="",D62="")),"❌ FALTA Nº RECEBIMENTO/ESCOLA",IF(B62="Nº INVÁLIDO","❌ Nº DE RECEBIMENTO INVÁLIDO",IF(E62="CÓDIGO INVÁLIDO","❌ CÓDIGO DE ESCOLA INVÁLIDO",IF(H62&gt;G62,"❌ REJEITADO MAIOR QUE APRESENTADO",IF(AND(A62&lt;&gt;"",SUMIF($A$60:$A$559,A62,$G$60:$G$559)&gt;INDEX($G$7:$G$56,MATCH(A62,$A$7:$A$56,0))+0.01),"❌ DISTRIBUÍDO MAIS QUE O ACEITO NESSE RECEBIMENTO","OK")))))))</f>
        <v/>
      </c>
      <c r="L62" s="389">
        <f>IF(A62="","",ROW()-59)</f>
        <v/>
      </c>
    </row>
    <row r="63">
      <c r="A63" s="380" t="n"/>
      <c r="B63" s="372">
        <f>IF(A63="","",IFERROR(INDEX($C$7:$C$56,MATCH(A63,$A$7:$A$56,0)),"Nº INVÁLIDO"))</f>
        <v/>
      </c>
      <c r="C63" s="372">
        <f>IF(A63="","",IFERROR(INDEX($D$7:$D$56,MATCH(A63,$A$7:$A$56,0)),"Nº INVÁLIDO"))</f>
        <v/>
      </c>
      <c r="D63" s="380" t="n"/>
      <c r="E63" s="381">
        <f>IF(D63="","",IFERROR(INDEX('Entrada de Dados'!$B$6:$B$196,MATCH(D63,'Entrada de Dados'!$A$6:$A$196,0)),"CÓDIGO INVÁLIDO"))</f>
        <v/>
      </c>
      <c r="F63" s="373" t="n"/>
      <c r="G63" s="375" t="n"/>
      <c r="H63" s="375" t="n"/>
      <c r="I63" s="376">
        <f>IF(G63="",0,MAX(G63-H63,0))</f>
        <v/>
      </c>
      <c r="J63" s="380" t="n"/>
      <c r="K63" s="162">
        <f>IF(AND(A63="",D63="",G63="",H63=""),"",IF(AND(OR(A63&lt;&gt;"",D63&lt;&gt;""),G63=""),"⏳ PENDENTE (falta qtd. apresentada)",IF(AND(G63&lt;&gt;"",OR(A63="",D63="")),"❌ FALTA Nº RECEBIMENTO/ESCOLA",IF(B63="Nº INVÁLIDO","❌ Nº DE RECEBIMENTO INVÁLIDO",IF(E63="CÓDIGO INVÁLIDO","❌ CÓDIGO DE ESCOLA INVÁLIDO",IF(H63&gt;G63,"❌ REJEITADO MAIOR QUE APRESENTADO",IF(AND(A63&lt;&gt;"",SUMIF($A$60:$A$559,A63,$G$60:$G$559)&gt;INDEX($G$7:$G$56,MATCH(A63,$A$7:$A$56,0))+0.01),"❌ DISTRIBUÍDO MAIS QUE O ACEITO NESSE RECEBIMENTO","OK")))))))</f>
        <v/>
      </c>
      <c r="L63" s="389">
        <f>IF(A63="","",ROW()-59)</f>
        <v/>
      </c>
    </row>
    <row r="64">
      <c r="A64" s="380" t="n"/>
      <c r="B64" s="372">
        <f>IF(A64="","",IFERROR(INDEX($C$7:$C$56,MATCH(A64,$A$7:$A$56,0)),"Nº INVÁLIDO"))</f>
        <v/>
      </c>
      <c r="C64" s="372">
        <f>IF(A64="","",IFERROR(INDEX($D$7:$D$56,MATCH(A64,$A$7:$A$56,0)),"Nº INVÁLIDO"))</f>
        <v/>
      </c>
      <c r="D64" s="380" t="n"/>
      <c r="E64" s="381">
        <f>IF(D64="","",IFERROR(INDEX('Entrada de Dados'!$B$6:$B$196,MATCH(D64,'Entrada de Dados'!$A$6:$A$196,0)),"CÓDIGO INVÁLIDO"))</f>
        <v/>
      </c>
      <c r="F64" s="373" t="n"/>
      <c r="G64" s="375" t="n"/>
      <c r="H64" s="375" t="n"/>
      <c r="I64" s="376">
        <f>IF(G64="",0,MAX(G64-H64,0))</f>
        <v/>
      </c>
      <c r="J64" s="380" t="n"/>
      <c r="K64" s="162">
        <f>IF(AND(A64="",D64="",G64="",H64=""),"",IF(AND(OR(A64&lt;&gt;"",D64&lt;&gt;""),G64=""),"⏳ PENDENTE (falta qtd. apresentada)",IF(AND(G64&lt;&gt;"",OR(A64="",D64="")),"❌ FALTA Nº RECEBIMENTO/ESCOLA",IF(B64="Nº INVÁLIDO","❌ Nº DE RECEBIMENTO INVÁLIDO",IF(E64="CÓDIGO INVÁLIDO","❌ CÓDIGO DE ESCOLA INVÁLIDO",IF(H64&gt;G64,"❌ REJEITADO MAIOR QUE APRESENTADO",IF(AND(A64&lt;&gt;"",SUMIF($A$60:$A$559,A64,$G$60:$G$559)&gt;INDEX($G$7:$G$56,MATCH(A64,$A$7:$A$56,0))+0.01),"❌ DISTRIBUÍDO MAIS QUE O ACEITO NESSE RECEBIMENTO","OK")))))))</f>
        <v/>
      </c>
      <c r="L64" s="389">
        <f>IF(A64="","",ROW()-59)</f>
        <v/>
      </c>
    </row>
    <row r="65">
      <c r="A65" s="380" t="n"/>
      <c r="B65" s="372">
        <f>IF(A65="","",IFERROR(INDEX($C$7:$C$56,MATCH(A65,$A$7:$A$56,0)),"Nº INVÁLIDO"))</f>
        <v/>
      </c>
      <c r="C65" s="372">
        <f>IF(A65="","",IFERROR(INDEX($D$7:$D$56,MATCH(A65,$A$7:$A$56,0)),"Nº INVÁLIDO"))</f>
        <v/>
      </c>
      <c r="D65" s="380" t="n"/>
      <c r="E65" s="381">
        <f>IF(D65="","",IFERROR(INDEX('Entrada de Dados'!$B$6:$B$196,MATCH(D65,'Entrada de Dados'!$A$6:$A$196,0)),"CÓDIGO INVÁLIDO"))</f>
        <v/>
      </c>
      <c r="F65" s="373" t="n"/>
      <c r="G65" s="375" t="n"/>
      <c r="H65" s="375" t="n"/>
      <c r="I65" s="376">
        <f>IF(G65="",0,MAX(G65-H65,0))</f>
        <v/>
      </c>
      <c r="J65" s="380" t="n"/>
      <c r="K65" s="162">
        <f>IF(AND(A65="",D65="",G65="",H65=""),"",IF(AND(OR(A65&lt;&gt;"",D65&lt;&gt;""),G65=""),"⏳ PENDENTE (falta qtd. apresentada)",IF(AND(G65&lt;&gt;"",OR(A65="",D65="")),"❌ FALTA Nº RECEBIMENTO/ESCOLA",IF(B65="Nº INVÁLIDO","❌ Nº DE RECEBIMENTO INVÁLIDO",IF(E65="CÓDIGO INVÁLIDO","❌ CÓDIGO DE ESCOLA INVÁLIDO",IF(H65&gt;G65,"❌ REJEITADO MAIOR QUE APRESENTADO",IF(AND(A65&lt;&gt;"",SUMIF($A$60:$A$559,A65,$G$60:$G$559)&gt;INDEX($G$7:$G$56,MATCH(A65,$A$7:$A$56,0))+0.01),"❌ DISTRIBUÍDO MAIS QUE O ACEITO NESSE RECEBIMENTO","OK")))))))</f>
        <v/>
      </c>
      <c r="L65" s="389">
        <f>IF(A65="","",ROW()-59)</f>
        <v/>
      </c>
    </row>
    <row r="66">
      <c r="A66" s="380" t="n"/>
      <c r="B66" s="372">
        <f>IF(A66="","",IFERROR(INDEX($C$7:$C$56,MATCH(A66,$A$7:$A$56,0)),"Nº INVÁLIDO"))</f>
        <v/>
      </c>
      <c r="C66" s="372">
        <f>IF(A66="","",IFERROR(INDEX($D$7:$D$56,MATCH(A66,$A$7:$A$56,0)),"Nº INVÁLIDO"))</f>
        <v/>
      </c>
      <c r="D66" s="380" t="n"/>
      <c r="E66" s="381">
        <f>IF(D66="","",IFERROR(INDEX('Entrada de Dados'!$B$6:$B$196,MATCH(D66,'Entrada de Dados'!$A$6:$A$196,0)),"CÓDIGO INVÁLIDO"))</f>
        <v/>
      </c>
      <c r="F66" s="373" t="n"/>
      <c r="G66" s="375" t="n"/>
      <c r="H66" s="375" t="n"/>
      <c r="I66" s="376">
        <f>IF(G66="",0,MAX(G66-H66,0))</f>
        <v/>
      </c>
      <c r="J66" s="380" t="n"/>
      <c r="K66" s="162">
        <f>IF(AND(A66="",D66="",G66="",H66=""),"",IF(AND(OR(A66&lt;&gt;"",D66&lt;&gt;""),G66=""),"⏳ PENDENTE (falta qtd. apresentada)",IF(AND(G66&lt;&gt;"",OR(A66="",D66="")),"❌ FALTA Nº RECEBIMENTO/ESCOLA",IF(B66="Nº INVÁLIDO","❌ Nº DE RECEBIMENTO INVÁLIDO",IF(E66="CÓDIGO INVÁLIDO","❌ CÓDIGO DE ESCOLA INVÁLIDO",IF(H66&gt;G66,"❌ REJEITADO MAIOR QUE APRESENTADO",IF(AND(A66&lt;&gt;"",SUMIF($A$60:$A$559,A66,$G$60:$G$559)&gt;INDEX($G$7:$G$56,MATCH(A66,$A$7:$A$56,0))+0.01),"❌ DISTRIBUÍDO MAIS QUE O ACEITO NESSE RECEBIMENTO","OK")))))))</f>
        <v/>
      </c>
      <c r="L66" s="389">
        <f>IF(A66="","",ROW()-59)</f>
        <v/>
      </c>
    </row>
    <row r="67">
      <c r="A67" s="380" t="n"/>
      <c r="B67" s="372">
        <f>IF(A67="","",IFERROR(INDEX($C$7:$C$56,MATCH(A67,$A$7:$A$56,0)),"Nº INVÁLIDO"))</f>
        <v/>
      </c>
      <c r="C67" s="372">
        <f>IF(A67="","",IFERROR(INDEX($D$7:$D$56,MATCH(A67,$A$7:$A$56,0)),"Nº INVÁLIDO"))</f>
        <v/>
      </c>
      <c r="D67" s="380" t="n"/>
      <c r="E67" s="381">
        <f>IF(D67="","",IFERROR(INDEX('Entrada de Dados'!$B$6:$B$196,MATCH(D67,'Entrada de Dados'!$A$6:$A$196,0)),"CÓDIGO INVÁLIDO"))</f>
        <v/>
      </c>
      <c r="F67" s="373" t="n"/>
      <c r="G67" s="375" t="n"/>
      <c r="H67" s="375" t="n"/>
      <c r="I67" s="376">
        <f>IF(G67="",0,MAX(G67-H67,0))</f>
        <v/>
      </c>
      <c r="J67" s="380" t="n"/>
      <c r="K67" s="162">
        <f>IF(AND(A67="",D67="",G67="",H67=""),"",IF(AND(OR(A67&lt;&gt;"",D67&lt;&gt;""),G67=""),"⏳ PENDENTE (falta qtd. apresentada)",IF(AND(G67&lt;&gt;"",OR(A67="",D67="")),"❌ FALTA Nº RECEBIMENTO/ESCOLA",IF(B67="Nº INVÁLIDO","❌ Nº DE RECEBIMENTO INVÁLIDO",IF(E67="CÓDIGO INVÁLIDO","❌ CÓDIGO DE ESCOLA INVÁLIDO",IF(H67&gt;G67,"❌ REJEITADO MAIOR QUE APRESENTADO",IF(AND(A67&lt;&gt;"",SUMIF($A$60:$A$559,A67,$G$60:$G$559)&gt;INDEX($G$7:$G$56,MATCH(A67,$A$7:$A$56,0))+0.01),"❌ DISTRIBUÍDO MAIS QUE O ACEITO NESSE RECEBIMENTO","OK")))))))</f>
        <v/>
      </c>
      <c r="L67" s="389">
        <f>IF(A67="","",ROW()-59)</f>
        <v/>
      </c>
    </row>
    <row r="68">
      <c r="A68" s="380" t="n"/>
      <c r="B68" s="372">
        <f>IF(A68="","",IFERROR(INDEX($C$7:$C$56,MATCH(A68,$A$7:$A$56,0)),"Nº INVÁLIDO"))</f>
        <v/>
      </c>
      <c r="C68" s="372">
        <f>IF(A68="","",IFERROR(INDEX($D$7:$D$56,MATCH(A68,$A$7:$A$56,0)),"Nº INVÁLIDO"))</f>
        <v/>
      </c>
      <c r="D68" s="380" t="n"/>
      <c r="E68" s="381">
        <f>IF(D68="","",IFERROR(INDEX('Entrada de Dados'!$B$6:$B$196,MATCH(D68,'Entrada de Dados'!$A$6:$A$196,0)),"CÓDIGO INVÁLIDO"))</f>
        <v/>
      </c>
      <c r="F68" s="373" t="n"/>
      <c r="G68" s="375" t="n"/>
      <c r="H68" s="375" t="n"/>
      <c r="I68" s="376">
        <f>IF(G68="",0,MAX(G68-H68,0))</f>
        <v/>
      </c>
      <c r="J68" s="380" t="n"/>
      <c r="K68" s="162">
        <f>IF(AND(A68="",D68="",G68="",H68=""),"",IF(AND(OR(A68&lt;&gt;"",D68&lt;&gt;""),G68=""),"⏳ PENDENTE (falta qtd. apresentada)",IF(AND(G68&lt;&gt;"",OR(A68="",D68="")),"❌ FALTA Nº RECEBIMENTO/ESCOLA",IF(B68="Nº INVÁLIDO","❌ Nº DE RECEBIMENTO INVÁLIDO",IF(E68="CÓDIGO INVÁLIDO","❌ CÓDIGO DE ESCOLA INVÁLIDO",IF(H68&gt;G68,"❌ REJEITADO MAIOR QUE APRESENTADO",IF(AND(A68&lt;&gt;"",SUMIF($A$60:$A$559,A68,$G$60:$G$559)&gt;INDEX($G$7:$G$56,MATCH(A68,$A$7:$A$56,0))+0.01),"❌ DISTRIBUÍDO MAIS QUE O ACEITO NESSE RECEBIMENTO","OK")))))))</f>
        <v/>
      </c>
      <c r="L68" s="389">
        <f>IF(A68="","",ROW()-59)</f>
        <v/>
      </c>
    </row>
    <row r="69">
      <c r="A69" s="380" t="n"/>
      <c r="B69" s="372">
        <f>IF(A69="","",IFERROR(INDEX($C$7:$C$56,MATCH(A69,$A$7:$A$56,0)),"Nº INVÁLIDO"))</f>
        <v/>
      </c>
      <c r="C69" s="372">
        <f>IF(A69="","",IFERROR(INDEX($D$7:$D$56,MATCH(A69,$A$7:$A$56,0)),"Nº INVÁLIDO"))</f>
        <v/>
      </c>
      <c r="D69" s="380" t="n"/>
      <c r="E69" s="381">
        <f>IF(D69="","",IFERROR(INDEX('Entrada de Dados'!$B$6:$B$196,MATCH(D69,'Entrada de Dados'!$A$6:$A$196,0)),"CÓDIGO INVÁLIDO"))</f>
        <v/>
      </c>
      <c r="F69" s="373" t="n"/>
      <c r="G69" s="375" t="n"/>
      <c r="H69" s="375" t="n"/>
      <c r="I69" s="376">
        <f>IF(G69="",0,MAX(G69-H69,0))</f>
        <v/>
      </c>
      <c r="J69" s="380" t="n"/>
      <c r="K69" s="162">
        <f>IF(AND(A69="",D69="",G69="",H69=""),"",IF(AND(OR(A69&lt;&gt;"",D69&lt;&gt;""),G69=""),"⏳ PENDENTE (falta qtd. apresentada)",IF(AND(G69&lt;&gt;"",OR(A69="",D69="")),"❌ FALTA Nº RECEBIMENTO/ESCOLA",IF(B69="Nº INVÁLIDO","❌ Nº DE RECEBIMENTO INVÁLIDO",IF(E69="CÓDIGO INVÁLIDO","❌ CÓDIGO DE ESCOLA INVÁLIDO",IF(H69&gt;G69,"❌ REJEITADO MAIOR QUE APRESENTADO",IF(AND(A69&lt;&gt;"",SUMIF($A$60:$A$559,A69,$G$60:$G$559)&gt;INDEX($G$7:$G$56,MATCH(A69,$A$7:$A$56,0))+0.01),"❌ DISTRIBUÍDO MAIS QUE O ACEITO NESSE RECEBIMENTO","OK")))))))</f>
        <v/>
      </c>
      <c r="L69" s="389">
        <f>IF(A69="","",ROW()-59)</f>
        <v/>
      </c>
    </row>
    <row r="70">
      <c r="A70" s="380" t="n"/>
      <c r="B70" s="372">
        <f>IF(A70="","",IFERROR(INDEX($C$7:$C$56,MATCH(A70,$A$7:$A$56,0)),"Nº INVÁLIDO"))</f>
        <v/>
      </c>
      <c r="C70" s="372">
        <f>IF(A70="","",IFERROR(INDEX($D$7:$D$56,MATCH(A70,$A$7:$A$56,0)),"Nº INVÁLIDO"))</f>
        <v/>
      </c>
      <c r="D70" s="380" t="n"/>
      <c r="E70" s="381">
        <f>IF(D70="","",IFERROR(INDEX('Entrada de Dados'!$B$6:$B$196,MATCH(D70,'Entrada de Dados'!$A$6:$A$196,0)),"CÓDIGO INVÁLIDO"))</f>
        <v/>
      </c>
      <c r="F70" s="373" t="n"/>
      <c r="G70" s="375" t="n"/>
      <c r="H70" s="375" t="n"/>
      <c r="I70" s="376">
        <f>IF(G70="",0,MAX(G70-H70,0))</f>
        <v/>
      </c>
      <c r="J70" s="380" t="n"/>
      <c r="K70" s="162">
        <f>IF(AND(A70="",D70="",G70="",H70=""),"",IF(AND(OR(A70&lt;&gt;"",D70&lt;&gt;""),G70=""),"⏳ PENDENTE (falta qtd. apresentada)",IF(AND(G70&lt;&gt;"",OR(A70="",D70="")),"❌ FALTA Nº RECEBIMENTO/ESCOLA",IF(B70="Nº INVÁLIDO","❌ Nº DE RECEBIMENTO INVÁLIDO",IF(E70="CÓDIGO INVÁLIDO","❌ CÓDIGO DE ESCOLA INVÁLIDO",IF(H70&gt;G70,"❌ REJEITADO MAIOR QUE APRESENTADO",IF(AND(A70&lt;&gt;"",SUMIF($A$60:$A$559,A70,$G$60:$G$559)&gt;INDEX($G$7:$G$56,MATCH(A70,$A$7:$A$56,0))+0.01),"❌ DISTRIBUÍDO MAIS QUE O ACEITO NESSE RECEBIMENTO","OK")))))))</f>
        <v/>
      </c>
      <c r="L70" s="389">
        <f>IF(A70="","",ROW()-59)</f>
        <v/>
      </c>
    </row>
    <row r="71">
      <c r="A71" s="380" t="n"/>
      <c r="B71" s="372">
        <f>IF(A71="","",IFERROR(INDEX($C$7:$C$56,MATCH(A71,$A$7:$A$56,0)),"Nº INVÁLIDO"))</f>
        <v/>
      </c>
      <c r="C71" s="372">
        <f>IF(A71="","",IFERROR(INDEX($D$7:$D$56,MATCH(A71,$A$7:$A$56,0)),"Nº INVÁLIDO"))</f>
        <v/>
      </c>
      <c r="D71" s="380" t="n"/>
      <c r="E71" s="381">
        <f>IF(D71="","",IFERROR(INDEX('Entrada de Dados'!$B$6:$B$196,MATCH(D71,'Entrada de Dados'!$A$6:$A$196,0)),"CÓDIGO INVÁLIDO"))</f>
        <v/>
      </c>
      <c r="F71" s="373" t="n"/>
      <c r="G71" s="375" t="n"/>
      <c r="H71" s="375" t="n"/>
      <c r="I71" s="376">
        <f>IF(G71="",0,MAX(G71-H71,0))</f>
        <v/>
      </c>
      <c r="J71" s="380" t="n"/>
      <c r="K71" s="162">
        <f>IF(AND(A71="",D71="",G71="",H71=""),"",IF(AND(OR(A71&lt;&gt;"",D71&lt;&gt;""),G71=""),"⏳ PENDENTE (falta qtd. apresentada)",IF(AND(G71&lt;&gt;"",OR(A71="",D71="")),"❌ FALTA Nº RECEBIMENTO/ESCOLA",IF(B71="Nº INVÁLIDO","❌ Nº DE RECEBIMENTO INVÁLIDO",IF(E71="CÓDIGO INVÁLIDO","❌ CÓDIGO DE ESCOLA INVÁLIDO",IF(H71&gt;G71,"❌ REJEITADO MAIOR QUE APRESENTADO",IF(AND(A71&lt;&gt;"",SUMIF($A$60:$A$559,A71,$G$60:$G$559)&gt;INDEX($G$7:$G$56,MATCH(A71,$A$7:$A$56,0))+0.01),"❌ DISTRIBUÍDO MAIS QUE O ACEITO NESSE RECEBIMENTO","OK")))))))</f>
        <v/>
      </c>
      <c r="L71" s="389">
        <f>IF(A71="","",ROW()-59)</f>
        <v/>
      </c>
    </row>
    <row r="72">
      <c r="A72" s="380" t="n"/>
      <c r="B72" s="372">
        <f>IF(A72="","",IFERROR(INDEX($C$7:$C$56,MATCH(A72,$A$7:$A$56,0)),"Nº INVÁLIDO"))</f>
        <v/>
      </c>
      <c r="C72" s="372">
        <f>IF(A72="","",IFERROR(INDEX($D$7:$D$56,MATCH(A72,$A$7:$A$56,0)),"Nº INVÁLIDO"))</f>
        <v/>
      </c>
      <c r="D72" s="380" t="n"/>
      <c r="E72" s="381">
        <f>IF(D72="","",IFERROR(INDEX('Entrada de Dados'!$B$6:$B$196,MATCH(D72,'Entrada de Dados'!$A$6:$A$196,0)),"CÓDIGO INVÁLIDO"))</f>
        <v/>
      </c>
      <c r="F72" s="373" t="n"/>
      <c r="G72" s="375" t="n"/>
      <c r="H72" s="375" t="n"/>
      <c r="I72" s="376">
        <f>IF(G72="",0,MAX(G72-H72,0))</f>
        <v/>
      </c>
      <c r="J72" s="380" t="n"/>
      <c r="K72" s="162">
        <f>IF(AND(A72="",D72="",G72="",H72=""),"",IF(AND(OR(A72&lt;&gt;"",D72&lt;&gt;""),G72=""),"⏳ PENDENTE (falta qtd. apresentada)",IF(AND(G72&lt;&gt;"",OR(A72="",D72="")),"❌ FALTA Nº RECEBIMENTO/ESCOLA",IF(B72="Nº INVÁLIDO","❌ Nº DE RECEBIMENTO INVÁLIDO",IF(E72="CÓDIGO INVÁLIDO","❌ CÓDIGO DE ESCOLA INVÁLIDO",IF(H72&gt;G72,"❌ REJEITADO MAIOR QUE APRESENTADO",IF(AND(A72&lt;&gt;"",SUMIF($A$60:$A$559,A72,$G$60:$G$559)&gt;INDEX($G$7:$G$56,MATCH(A72,$A$7:$A$56,0))+0.01),"❌ DISTRIBUÍDO MAIS QUE O ACEITO NESSE RECEBIMENTO","OK")))))))</f>
        <v/>
      </c>
      <c r="L72" s="389">
        <f>IF(A72="","",ROW()-59)</f>
        <v/>
      </c>
    </row>
    <row r="73">
      <c r="A73" s="380" t="n"/>
      <c r="B73" s="372">
        <f>IF(A73="","",IFERROR(INDEX($C$7:$C$56,MATCH(A73,$A$7:$A$56,0)),"Nº INVÁLIDO"))</f>
        <v/>
      </c>
      <c r="C73" s="372">
        <f>IF(A73="","",IFERROR(INDEX($D$7:$D$56,MATCH(A73,$A$7:$A$56,0)),"Nº INVÁLIDO"))</f>
        <v/>
      </c>
      <c r="D73" s="380" t="n"/>
      <c r="E73" s="381">
        <f>IF(D73="","",IFERROR(INDEX('Entrada de Dados'!$B$6:$B$196,MATCH(D73,'Entrada de Dados'!$A$6:$A$196,0)),"CÓDIGO INVÁLIDO"))</f>
        <v/>
      </c>
      <c r="F73" s="373" t="n"/>
      <c r="G73" s="375" t="n"/>
      <c r="H73" s="375" t="n"/>
      <c r="I73" s="376">
        <f>IF(G73="",0,MAX(G73-H73,0))</f>
        <v/>
      </c>
      <c r="J73" s="380" t="n"/>
      <c r="K73" s="162">
        <f>IF(AND(A73="",D73="",G73="",H73=""),"",IF(AND(OR(A73&lt;&gt;"",D73&lt;&gt;""),G73=""),"⏳ PENDENTE (falta qtd. apresentada)",IF(AND(G73&lt;&gt;"",OR(A73="",D73="")),"❌ FALTA Nº RECEBIMENTO/ESCOLA",IF(B73="Nº INVÁLIDO","❌ Nº DE RECEBIMENTO INVÁLIDO",IF(E73="CÓDIGO INVÁLIDO","❌ CÓDIGO DE ESCOLA INVÁLIDO",IF(H73&gt;G73,"❌ REJEITADO MAIOR QUE APRESENTADO",IF(AND(A73&lt;&gt;"",SUMIF($A$60:$A$559,A73,$G$60:$G$559)&gt;INDEX($G$7:$G$56,MATCH(A73,$A$7:$A$56,0))+0.01),"❌ DISTRIBUÍDO MAIS QUE O ACEITO NESSE RECEBIMENTO","OK")))))))</f>
        <v/>
      </c>
      <c r="L73" s="389">
        <f>IF(A73="","",ROW()-59)</f>
        <v/>
      </c>
    </row>
    <row r="74">
      <c r="A74" s="380" t="n"/>
      <c r="B74" s="372">
        <f>IF(A74="","",IFERROR(INDEX($C$7:$C$56,MATCH(A74,$A$7:$A$56,0)),"Nº INVÁLIDO"))</f>
        <v/>
      </c>
      <c r="C74" s="372">
        <f>IF(A74="","",IFERROR(INDEX($D$7:$D$56,MATCH(A74,$A$7:$A$56,0)),"Nº INVÁLIDO"))</f>
        <v/>
      </c>
      <c r="D74" s="380" t="n"/>
      <c r="E74" s="381">
        <f>IF(D74="","",IFERROR(INDEX('Entrada de Dados'!$B$6:$B$196,MATCH(D74,'Entrada de Dados'!$A$6:$A$196,0)),"CÓDIGO INVÁLIDO"))</f>
        <v/>
      </c>
      <c r="F74" s="373" t="n"/>
      <c r="G74" s="375" t="n"/>
      <c r="H74" s="375" t="n"/>
      <c r="I74" s="376">
        <f>IF(G74="",0,MAX(G74-H74,0))</f>
        <v/>
      </c>
      <c r="J74" s="380" t="n"/>
      <c r="K74" s="162">
        <f>IF(AND(A74="",D74="",G74="",H74=""),"",IF(AND(OR(A74&lt;&gt;"",D74&lt;&gt;""),G74=""),"⏳ PENDENTE (falta qtd. apresentada)",IF(AND(G74&lt;&gt;"",OR(A74="",D74="")),"❌ FALTA Nº RECEBIMENTO/ESCOLA",IF(B74="Nº INVÁLIDO","❌ Nº DE RECEBIMENTO INVÁLIDO",IF(E74="CÓDIGO INVÁLIDO","❌ CÓDIGO DE ESCOLA INVÁLIDO",IF(H74&gt;G74,"❌ REJEITADO MAIOR QUE APRESENTADO",IF(AND(A74&lt;&gt;"",SUMIF($A$60:$A$559,A74,$G$60:$G$559)&gt;INDEX($G$7:$G$56,MATCH(A74,$A$7:$A$56,0))+0.01),"❌ DISTRIBUÍDO MAIS QUE O ACEITO NESSE RECEBIMENTO","OK")))))))</f>
        <v/>
      </c>
      <c r="L74" s="389">
        <f>IF(A74="","",ROW()-59)</f>
        <v/>
      </c>
    </row>
    <row r="75" hidden="1" outlineLevel="1" s="163">
      <c r="A75" s="380" t="n"/>
      <c r="B75" s="372">
        <f>IF(A75="","",IFERROR(INDEX($C$7:$C$56,MATCH(A75,$A$7:$A$56,0)),"Nº INVÁLIDO"))</f>
        <v/>
      </c>
      <c r="C75" s="372">
        <f>IF(A75="","",IFERROR(INDEX($D$7:$D$56,MATCH(A75,$A$7:$A$56,0)),"Nº INVÁLIDO"))</f>
        <v/>
      </c>
      <c r="D75" s="380" t="n"/>
      <c r="E75" s="381">
        <f>IF(D75="","",IFERROR(INDEX('Entrada de Dados'!$B$6:$B$196,MATCH(D75,'Entrada de Dados'!$A$6:$A$196,0)),"CÓDIGO INVÁLIDO"))</f>
        <v/>
      </c>
      <c r="F75" s="373" t="n"/>
      <c r="G75" s="375" t="n"/>
      <c r="H75" s="375" t="n"/>
      <c r="I75" s="376">
        <f>IF(G75="",0,MAX(G75-H75,0))</f>
        <v/>
      </c>
      <c r="J75" s="380" t="n"/>
      <c r="K75" s="162">
        <f>IF(AND(A75="",D75="",G75="",H75=""),"",IF(AND(OR(A75&lt;&gt;"",D75&lt;&gt;""),G75=""),"⏳ PENDENTE (falta qtd. apresentada)",IF(AND(G75&lt;&gt;"",OR(A75="",D75="")),"❌ FALTA Nº RECEBIMENTO/ESCOLA",IF(B75="Nº INVÁLIDO","❌ Nº DE RECEBIMENTO INVÁLIDO",IF(E75="CÓDIGO INVÁLIDO","❌ CÓDIGO DE ESCOLA INVÁLIDO",IF(H75&gt;G75,"❌ REJEITADO MAIOR QUE APRESENTADO",IF(AND(A75&lt;&gt;"",SUMIF($A$60:$A$559,A75,$G$60:$G$559)&gt;INDEX($G$7:$G$56,MATCH(A75,$A$7:$A$56,0))+0.01),"❌ DISTRIBUÍDO MAIS QUE O ACEITO NESSE RECEBIMENTO","OK")))))))</f>
        <v/>
      </c>
      <c r="L75" s="389">
        <f>IF(A75="","",ROW()-59)</f>
        <v/>
      </c>
    </row>
    <row r="76" hidden="1" outlineLevel="1" s="163">
      <c r="A76" s="380" t="n"/>
      <c r="B76" s="372">
        <f>IF(A76="","",IFERROR(INDEX($C$7:$C$56,MATCH(A76,$A$7:$A$56,0)),"Nº INVÁLIDO"))</f>
        <v/>
      </c>
      <c r="C76" s="372">
        <f>IF(A76="","",IFERROR(INDEX($D$7:$D$56,MATCH(A76,$A$7:$A$56,0)),"Nº INVÁLIDO"))</f>
        <v/>
      </c>
      <c r="D76" s="380" t="n"/>
      <c r="E76" s="381">
        <f>IF(D76="","",IFERROR(INDEX('Entrada de Dados'!$B$6:$B$196,MATCH(D76,'Entrada de Dados'!$A$6:$A$196,0)),"CÓDIGO INVÁLIDO"))</f>
        <v/>
      </c>
      <c r="F76" s="373" t="n"/>
      <c r="G76" s="375" t="n"/>
      <c r="H76" s="375" t="n"/>
      <c r="I76" s="376">
        <f>IF(G76="",0,MAX(G76-H76,0))</f>
        <v/>
      </c>
      <c r="J76" s="380" t="n"/>
      <c r="K76" s="162">
        <f>IF(AND(A76="",D76="",G76="",H76=""),"",IF(AND(OR(A76&lt;&gt;"",D76&lt;&gt;""),G76=""),"⏳ PENDENTE (falta qtd. apresentada)",IF(AND(G76&lt;&gt;"",OR(A76="",D76="")),"❌ FALTA Nº RECEBIMENTO/ESCOLA",IF(B76="Nº INVÁLIDO","❌ Nº DE RECEBIMENTO INVÁLIDO",IF(E76="CÓDIGO INVÁLIDO","❌ CÓDIGO DE ESCOLA INVÁLIDO",IF(H76&gt;G76,"❌ REJEITADO MAIOR QUE APRESENTADO",IF(AND(A76&lt;&gt;"",SUMIF($A$60:$A$559,A76,$G$60:$G$559)&gt;INDEX($G$7:$G$56,MATCH(A76,$A$7:$A$56,0))+0.01),"❌ DISTRIBUÍDO MAIS QUE O ACEITO NESSE RECEBIMENTO","OK")))))))</f>
        <v/>
      </c>
      <c r="L76" s="389">
        <f>IF(A76="","",ROW()-59)</f>
        <v/>
      </c>
    </row>
    <row r="77" hidden="1" outlineLevel="1" s="163">
      <c r="A77" s="380" t="n"/>
      <c r="B77" s="372">
        <f>IF(A77="","",IFERROR(INDEX($C$7:$C$56,MATCH(A77,$A$7:$A$56,0)),"Nº INVÁLIDO"))</f>
        <v/>
      </c>
      <c r="C77" s="372">
        <f>IF(A77="","",IFERROR(INDEX($D$7:$D$56,MATCH(A77,$A$7:$A$56,0)),"Nº INVÁLIDO"))</f>
        <v/>
      </c>
      <c r="D77" s="380" t="n"/>
      <c r="E77" s="381">
        <f>IF(D77="","",IFERROR(INDEX('Entrada de Dados'!$B$6:$B$196,MATCH(D77,'Entrada de Dados'!$A$6:$A$196,0)),"CÓDIGO INVÁLIDO"))</f>
        <v/>
      </c>
      <c r="F77" s="373" t="n"/>
      <c r="G77" s="375" t="n"/>
      <c r="H77" s="375" t="n"/>
      <c r="I77" s="376">
        <f>IF(G77="",0,MAX(G77-H77,0))</f>
        <v/>
      </c>
      <c r="J77" s="380" t="n"/>
      <c r="K77" s="162">
        <f>IF(AND(A77="",D77="",G77="",H77=""),"",IF(AND(OR(A77&lt;&gt;"",D77&lt;&gt;""),G77=""),"⏳ PENDENTE (falta qtd. apresentada)",IF(AND(G77&lt;&gt;"",OR(A77="",D77="")),"❌ FALTA Nº RECEBIMENTO/ESCOLA",IF(B77="Nº INVÁLIDO","❌ Nº DE RECEBIMENTO INVÁLIDO",IF(E77="CÓDIGO INVÁLIDO","❌ CÓDIGO DE ESCOLA INVÁLIDO",IF(H77&gt;G77,"❌ REJEITADO MAIOR QUE APRESENTADO",IF(AND(A77&lt;&gt;"",SUMIF($A$60:$A$559,A77,$G$60:$G$559)&gt;INDEX($G$7:$G$56,MATCH(A77,$A$7:$A$56,0))+0.01),"❌ DISTRIBUÍDO MAIS QUE O ACEITO NESSE RECEBIMENTO","OK")))))))</f>
        <v/>
      </c>
      <c r="L77" s="389">
        <f>IF(A77="","",ROW()-59)</f>
        <v/>
      </c>
    </row>
    <row r="78" hidden="1" outlineLevel="1" s="163">
      <c r="A78" s="380" t="n"/>
      <c r="B78" s="372">
        <f>IF(A78="","",IFERROR(INDEX($C$7:$C$56,MATCH(A78,$A$7:$A$56,0)),"Nº INVÁLIDO"))</f>
        <v/>
      </c>
      <c r="C78" s="372">
        <f>IF(A78="","",IFERROR(INDEX($D$7:$D$56,MATCH(A78,$A$7:$A$56,0)),"Nº INVÁLIDO"))</f>
        <v/>
      </c>
      <c r="D78" s="380" t="n"/>
      <c r="E78" s="381">
        <f>IF(D78="","",IFERROR(INDEX('Entrada de Dados'!$B$6:$B$196,MATCH(D78,'Entrada de Dados'!$A$6:$A$196,0)),"CÓDIGO INVÁLIDO"))</f>
        <v/>
      </c>
      <c r="F78" s="373" t="n"/>
      <c r="G78" s="375" t="n"/>
      <c r="H78" s="375" t="n"/>
      <c r="I78" s="376">
        <f>IF(G78="",0,MAX(G78-H78,0))</f>
        <v/>
      </c>
      <c r="J78" s="380" t="n"/>
      <c r="K78" s="162">
        <f>IF(AND(A78="",D78="",G78="",H78=""),"",IF(AND(OR(A78&lt;&gt;"",D78&lt;&gt;""),G78=""),"⏳ PENDENTE (falta qtd. apresentada)",IF(AND(G78&lt;&gt;"",OR(A78="",D78="")),"❌ FALTA Nº RECEBIMENTO/ESCOLA",IF(B78="Nº INVÁLIDO","❌ Nº DE RECEBIMENTO INVÁLIDO",IF(E78="CÓDIGO INVÁLIDO","❌ CÓDIGO DE ESCOLA INVÁLIDO",IF(H78&gt;G78,"❌ REJEITADO MAIOR QUE APRESENTADO",IF(AND(A78&lt;&gt;"",SUMIF($A$60:$A$559,A78,$G$60:$G$559)&gt;INDEX($G$7:$G$56,MATCH(A78,$A$7:$A$56,0))+0.01),"❌ DISTRIBUÍDO MAIS QUE O ACEITO NESSE RECEBIMENTO","OK")))))))</f>
        <v/>
      </c>
      <c r="L78" s="389">
        <f>IF(A78="","",ROW()-59)</f>
        <v/>
      </c>
    </row>
    <row r="79" hidden="1" outlineLevel="1" s="163">
      <c r="A79" s="380" t="n"/>
      <c r="B79" s="372">
        <f>IF(A79="","",IFERROR(INDEX($C$7:$C$56,MATCH(A79,$A$7:$A$56,0)),"Nº INVÁLIDO"))</f>
        <v/>
      </c>
      <c r="C79" s="372">
        <f>IF(A79="","",IFERROR(INDEX($D$7:$D$56,MATCH(A79,$A$7:$A$56,0)),"Nº INVÁLIDO"))</f>
        <v/>
      </c>
      <c r="D79" s="380" t="n"/>
      <c r="E79" s="381">
        <f>IF(D79="","",IFERROR(INDEX('Entrada de Dados'!$B$6:$B$196,MATCH(D79,'Entrada de Dados'!$A$6:$A$196,0)),"CÓDIGO INVÁLIDO"))</f>
        <v/>
      </c>
      <c r="F79" s="373" t="n"/>
      <c r="G79" s="375" t="n"/>
      <c r="H79" s="375" t="n"/>
      <c r="I79" s="376">
        <f>IF(G79="",0,MAX(G79-H79,0))</f>
        <v/>
      </c>
      <c r="J79" s="380" t="n"/>
      <c r="K79" s="162">
        <f>IF(AND(A79="",D79="",G79="",H79=""),"",IF(AND(OR(A79&lt;&gt;"",D79&lt;&gt;""),G79=""),"⏳ PENDENTE (falta qtd. apresentada)",IF(AND(G79&lt;&gt;"",OR(A79="",D79="")),"❌ FALTA Nº RECEBIMENTO/ESCOLA",IF(B79="Nº INVÁLIDO","❌ Nº DE RECEBIMENTO INVÁLIDO",IF(E79="CÓDIGO INVÁLIDO","❌ CÓDIGO DE ESCOLA INVÁLIDO",IF(H79&gt;G79,"❌ REJEITADO MAIOR QUE APRESENTADO",IF(AND(A79&lt;&gt;"",SUMIF($A$60:$A$559,A79,$G$60:$G$559)&gt;INDEX($G$7:$G$56,MATCH(A79,$A$7:$A$56,0))+0.01),"❌ DISTRIBUÍDO MAIS QUE O ACEITO NESSE RECEBIMENTO","OK")))))))</f>
        <v/>
      </c>
      <c r="L79" s="389">
        <f>IF(A79="","",ROW()-59)</f>
        <v/>
      </c>
    </row>
    <row r="80" hidden="1" outlineLevel="1" s="163">
      <c r="A80" s="380" t="n"/>
      <c r="B80" s="372">
        <f>IF(A80="","",IFERROR(INDEX($C$7:$C$56,MATCH(A80,$A$7:$A$56,0)),"Nº INVÁLIDO"))</f>
        <v/>
      </c>
      <c r="C80" s="372">
        <f>IF(A80="","",IFERROR(INDEX($D$7:$D$56,MATCH(A80,$A$7:$A$56,0)),"Nº INVÁLIDO"))</f>
        <v/>
      </c>
      <c r="D80" s="380" t="n"/>
      <c r="E80" s="381">
        <f>IF(D80="","",IFERROR(INDEX('Entrada de Dados'!$B$6:$B$196,MATCH(D80,'Entrada de Dados'!$A$6:$A$196,0)),"CÓDIGO INVÁLIDO"))</f>
        <v/>
      </c>
      <c r="F80" s="373" t="n"/>
      <c r="G80" s="375" t="n"/>
      <c r="H80" s="375" t="n"/>
      <c r="I80" s="376">
        <f>IF(G80="",0,MAX(G80-H80,0))</f>
        <v/>
      </c>
      <c r="J80" s="380" t="n"/>
      <c r="K80" s="162">
        <f>IF(AND(A80="",D80="",G80="",H80=""),"",IF(AND(OR(A80&lt;&gt;"",D80&lt;&gt;""),G80=""),"⏳ PENDENTE (falta qtd. apresentada)",IF(AND(G80&lt;&gt;"",OR(A80="",D80="")),"❌ FALTA Nº RECEBIMENTO/ESCOLA",IF(B80="Nº INVÁLIDO","❌ Nº DE RECEBIMENTO INVÁLIDO",IF(E80="CÓDIGO INVÁLIDO","❌ CÓDIGO DE ESCOLA INVÁLIDO",IF(H80&gt;G80,"❌ REJEITADO MAIOR QUE APRESENTADO",IF(AND(A80&lt;&gt;"",SUMIF($A$60:$A$559,A80,$G$60:$G$559)&gt;INDEX($G$7:$G$56,MATCH(A80,$A$7:$A$56,0))+0.01),"❌ DISTRIBUÍDO MAIS QUE O ACEITO NESSE RECEBIMENTO","OK")))))))</f>
        <v/>
      </c>
      <c r="L80" s="389">
        <f>IF(A80="","",ROW()-59)</f>
        <v/>
      </c>
    </row>
    <row r="81" hidden="1" outlineLevel="1" s="163">
      <c r="A81" s="380" t="n"/>
      <c r="B81" s="372">
        <f>IF(A81="","",IFERROR(INDEX($C$7:$C$56,MATCH(A81,$A$7:$A$56,0)),"Nº INVÁLIDO"))</f>
        <v/>
      </c>
      <c r="C81" s="372">
        <f>IF(A81="","",IFERROR(INDEX($D$7:$D$56,MATCH(A81,$A$7:$A$56,0)),"Nº INVÁLIDO"))</f>
        <v/>
      </c>
      <c r="D81" s="380" t="n"/>
      <c r="E81" s="381">
        <f>IF(D81="","",IFERROR(INDEX('Entrada de Dados'!$B$6:$B$196,MATCH(D81,'Entrada de Dados'!$A$6:$A$196,0)),"CÓDIGO INVÁLIDO"))</f>
        <v/>
      </c>
      <c r="F81" s="373" t="n"/>
      <c r="G81" s="375" t="n"/>
      <c r="H81" s="375" t="n"/>
      <c r="I81" s="376">
        <f>IF(G81="",0,MAX(G81-H81,0))</f>
        <v/>
      </c>
      <c r="J81" s="380" t="n"/>
      <c r="K81" s="162">
        <f>IF(AND(A81="",D81="",G81="",H81=""),"",IF(AND(OR(A81&lt;&gt;"",D81&lt;&gt;""),G81=""),"⏳ PENDENTE (falta qtd. apresentada)",IF(AND(G81&lt;&gt;"",OR(A81="",D81="")),"❌ FALTA Nº RECEBIMENTO/ESCOLA",IF(B81="Nº INVÁLIDO","❌ Nº DE RECEBIMENTO INVÁLIDO",IF(E81="CÓDIGO INVÁLIDO","❌ CÓDIGO DE ESCOLA INVÁLIDO",IF(H81&gt;G81,"❌ REJEITADO MAIOR QUE APRESENTADO",IF(AND(A81&lt;&gt;"",SUMIF($A$60:$A$559,A81,$G$60:$G$559)&gt;INDEX($G$7:$G$56,MATCH(A81,$A$7:$A$56,0))+0.01),"❌ DISTRIBUÍDO MAIS QUE O ACEITO NESSE RECEBIMENTO","OK")))))))</f>
        <v/>
      </c>
      <c r="L81" s="389">
        <f>IF(A81="","",ROW()-59)</f>
        <v/>
      </c>
    </row>
    <row r="82" hidden="1" outlineLevel="1" s="163">
      <c r="A82" s="380" t="n"/>
      <c r="B82" s="372">
        <f>IF(A82="","",IFERROR(INDEX($C$7:$C$56,MATCH(A82,$A$7:$A$56,0)),"Nº INVÁLIDO"))</f>
        <v/>
      </c>
      <c r="C82" s="372">
        <f>IF(A82="","",IFERROR(INDEX($D$7:$D$56,MATCH(A82,$A$7:$A$56,0)),"Nº INVÁLIDO"))</f>
        <v/>
      </c>
      <c r="D82" s="380" t="n"/>
      <c r="E82" s="381">
        <f>IF(D82="","",IFERROR(INDEX('Entrada de Dados'!$B$6:$B$196,MATCH(D82,'Entrada de Dados'!$A$6:$A$196,0)),"CÓDIGO INVÁLIDO"))</f>
        <v/>
      </c>
      <c r="F82" s="373" t="n"/>
      <c r="G82" s="375" t="n"/>
      <c r="H82" s="375" t="n"/>
      <c r="I82" s="376">
        <f>IF(G82="",0,MAX(G82-H82,0))</f>
        <v/>
      </c>
      <c r="J82" s="380" t="n"/>
      <c r="K82" s="162">
        <f>IF(AND(A82="",D82="",G82="",H82=""),"",IF(AND(OR(A82&lt;&gt;"",D82&lt;&gt;""),G82=""),"⏳ PENDENTE (falta qtd. apresentada)",IF(AND(G82&lt;&gt;"",OR(A82="",D82="")),"❌ FALTA Nº RECEBIMENTO/ESCOLA",IF(B82="Nº INVÁLIDO","❌ Nº DE RECEBIMENTO INVÁLIDO",IF(E82="CÓDIGO INVÁLIDO","❌ CÓDIGO DE ESCOLA INVÁLIDO",IF(H82&gt;G82,"❌ REJEITADO MAIOR QUE APRESENTADO",IF(AND(A82&lt;&gt;"",SUMIF($A$60:$A$559,A82,$G$60:$G$559)&gt;INDEX($G$7:$G$56,MATCH(A82,$A$7:$A$56,0))+0.01),"❌ DISTRIBUÍDO MAIS QUE O ACEITO NESSE RECEBIMENTO","OK")))))))</f>
        <v/>
      </c>
      <c r="L82" s="389">
        <f>IF(A82="","",ROW()-59)</f>
        <v/>
      </c>
    </row>
    <row r="83" hidden="1" outlineLevel="1" s="163">
      <c r="A83" s="380" t="n"/>
      <c r="B83" s="372">
        <f>IF(A83="","",IFERROR(INDEX($C$7:$C$56,MATCH(A83,$A$7:$A$56,0)),"Nº INVÁLIDO"))</f>
        <v/>
      </c>
      <c r="C83" s="372">
        <f>IF(A83="","",IFERROR(INDEX($D$7:$D$56,MATCH(A83,$A$7:$A$56,0)),"Nº INVÁLIDO"))</f>
        <v/>
      </c>
      <c r="D83" s="380" t="n"/>
      <c r="E83" s="381">
        <f>IF(D83="","",IFERROR(INDEX('Entrada de Dados'!$B$6:$B$196,MATCH(D83,'Entrada de Dados'!$A$6:$A$196,0)),"CÓDIGO INVÁLIDO"))</f>
        <v/>
      </c>
      <c r="F83" s="373" t="n"/>
      <c r="G83" s="375" t="n"/>
      <c r="H83" s="375" t="n"/>
      <c r="I83" s="376">
        <f>IF(G83="",0,MAX(G83-H83,0))</f>
        <v/>
      </c>
      <c r="J83" s="380" t="n"/>
      <c r="K83" s="162">
        <f>IF(AND(A83="",D83="",G83="",H83=""),"",IF(AND(OR(A83&lt;&gt;"",D83&lt;&gt;""),G83=""),"⏳ PENDENTE (falta qtd. apresentada)",IF(AND(G83&lt;&gt;"",OR(A83="",D83="")),"❌ FALTA Nº RECEBIMENTO/ESCOLA",IF(B83="Nº INVÁLIDO","❌ Nº DE RECEBIMENTO INVÁLIDO",IF(E83="CÓDIGO INVÁLIDO","❌ CÓDIGO DE ESCOLA INVÁLIDO",IF(H83&gt;G83,"❌ REJEITADO MAIOR QUE APRESENTADO",IF(AND(A83&lt;&gt;"",SUMIF($A$60:$A$559,A83,$G$60:$G$559)&gt;INDEX($G$7:$G$56,MATCH(A83,$A$7:$A$56,0))+0.01),"❌ DISTRIBUÍDO MAIS QUE O ACEITO NESSE RECEBIMENTO","OK")))))))</f>
        <v/>
      </c>
      <c r="L83" s="389">
        <f>IF(A83="","",ROW()-59)</f>
        <v/>
      </c>
    </row>
    <row r="84" hidden="1" outlineLevel="1" s="163">
      <c r="A84" s="380" t="n"/>
      <c r="B84" s="372">
        <f>IF(A84="","",IFERROR(INDEX($C$7:$C$56,MATCH(A84,$A$7:$A$56,0)),"Nº INVÁLIDO"))</f>
        <v/>
      </c>
      <c r="C84" s="372">
        <f>IF(A84="","",IFERROR(INDEX($D$7:$D$56,MATCH(A84,$A$7:$A$56,0)),"Nº INVÁLIDO"))</f>
        <v/>
      </c>
      <c r="D84" s="380" t="n"/>
      <c r="E84" s="381">
        <f>IF(D84="","",IFERROR(INDEX('Entrada de Dados'!$B$6:$B$196,MATCH(D84,'Entrada de Dados'!$A$6:$A$196,0)),"CÓDIGO INVÁLIDO"))</f>
        <v/>
      </c>
      <c r="F84" s="373" t="n"/>
      <c r="G84" s="375" t="n"/>
      <c r="H84" s="375" t="n"/>
      <c r="I84" s="376">
        <f>IF(G84="",0,MAX(G84-H84,0))</f>
        <v/>
      </c>
      <c r="J84" s="380" t="n"/>
      <c r="K84" s="162">
        <f>IF(AND(A84="",D84="",G84="",H84=""),"",IF(AND(OR(A84&lt;&gt;"",D84&lt;&gt;""),G84=""),"⏳ PENDENTE (falta qtd. apresentada)",IF(AND(G84&lt;&gt;"",OR(A84="",D84="")),"❌ FALTA Nº RECEBIMENTO/ESCOLA",IF(B84="Nº INVÁLIDO","❌ Nº DE RECEBIMENTO INVÁLIDO",IF(E84="CÓDIGO INVÁLIDO","❌ CÓDIGO DE ESCOLA INVÁLIDO",IF(H84&gt;G84,"❌ REJEITADO MAIOR QUE APRESENTADO",IF(AND(A84&lt;&gt;"",SUMIF($A$60:$A$559,A84,$G$60:$G$559)&gt;INDEX($G$7:$G$56,MATCH(A84,$A$7:$A$56,0))+0.01),"❌ DISTRIBUÍDO MAIS QUE O ACEITO NESSE RECEBIMENTO","OK")))))))</f>
        <v/>
      </c>
      <c r="L84" s="389">
        <f>IF(A84="","",ROW()-59)</f>
        <v/>
      </c>
    </row>
    <row r="85" hidden="1" outlineLevel="1" s="163">
      <c r="A85" s="380" t="n"/>
      <c r="B85" s="372">
        <f>IF(A85="","",IFERROR(INDEX($C$7:$C$56,MATCH(A85,$A$7:$A$56,0)),"Nº INVÁLIDO"))</f>
        <v/>
      </c>
      <c r="C85" s="372">
        <f>IF(A85="","",IFERROR(INDEX($D$7:$D$56,MATCH(A85,$A$7:$A$56,0)),"Nº INVÁLIDO"))</f>
        <v/>
      </c>
      <c r="D85" s="380" t="n"/>
      <c r="E85" s="381">
        <f>IF(D85="","",IFERROR(INDEX('Entrada de Dados'!$B$6:$B$196,MATCH(D85,'Entrada de Dados'!$A$6:$A$196,0)),"CÓDIGO INVÁLIDO"))</f>
        <v/>
      </c>
      <c r="F85" s="373" t="n"/>
      <c r="G85" s="375" t="n"/>
      <c r="H85" s="375" t="n"/>
      <c r="I85" s="376">
        <f>IF(G85="",0,MAX(G85-H85,0))</f>
        <v/>
      </c>
      <c r="J85" s="380" t="n"/>
      <c r="K85" s="162">
        <f>IF(AND(A85="",D85="",G85="",H85=""),"",IF(AND(OR(A85&lt;&gt;"",D85&lt;&gt;""),G85=""),"⏳ PENDENTE (falta qtd. apresentada)",IF(AND(G85&lt;&gt;"",OR(A85="",D85="")),"❌ FALTA Nº RECEBIMENTO/ESCOLA",IF(B85="Nº INVÁLIDO","❌ Nº DE RECEBIMENTO INVÁLIDO",IF(E85="CÓDIGO INVÁLIDO","❌ CÓDIGO DE ESCOLA INVÁLIDO",IF(H85&gt;G85,"❌ REJEITADO MAIOR QUE APRESENTADO",IF(AND(A85&lt;&gt;"",SUMIF($A$60:$A$559,A85,$G$60:$G$559)&gt;INDEX($G$7:$G$56,MATCH(A85,$A$7:$A$56,0))+0.01),"❌ DISTRIBUÍDO MAIS QUE O ACEITO NESSE RECEBIMENTO","OK")))))))</f>
        <v/>
      </c>
      <c r="L85" s="389">
        <f>IF(A85="","",ROW()-59)</f>
        <v/>
      </c>
    </row>
    <row r="86" hidden="1" outlineLevel="1" s="163">
      <c r="A86" s="380" t="n"/>
      <c r="B86" s="372">
        <f>IF(A86="","",IFERROR(INDEX($C$7:$C$56,MATCH(A86,$A$7:$A$56,0)),"Nº INVÁLIDO"))</f>
        <v/>
      </c>
      <c r="C86" s="372">
        <f>IF(A86="","",IFERROR(INDEX($D$7:$D$56,MATCH(A86,$A$7:$A$56,0)),"Nº INVÁLIDO"))</f>
        <v/>
      </c>
      <c r="D86" s="380" t="n"/>
      <c r="E86" s="381">
        <f>IF(D86="","",IFERROR(INDEX('Entrada de Dados'!$B$6:$B$196,MATCH(D86,'Entrada de Dados'!$A$6:$A$196,0)),"CÓDIGO INVÁLIDO"))</f>
        <v/>
      </c>
      <c r="F86" s="373" t="n"/>
      <c r="G86" s="375" t="n"/>
      <c r="H86" s="375" t="n"/>
      <c r="I86" s="376">
        <f>IF(G86="",0,MAX(G86-H86,0))</f>
        <v/>
      </c>
      <c r="J86" s="380" t="n"/>
      <c r="K86" s="162">
        <f>IF(AND(A86="",D86="",G86="",H86=""),"",IF(AND(OR(A86&lt;&gt;"",D86&lt;&gt;""),G86=""),"⏳ PENDENTE (falta qtd. apresentada)",IF(AND(G86&lt;&gt;"",OR(A86="",D86="")),"❌ FALTA Nº RECEBIMENTO/ESCOLA",IF(B86="Nº INVÁLIDO","❌ Nº DE RECEBIMENTO INVÁLIDO",IF(E86="CÓDIGO INVÁLIDO","❌ CÓDIGO DE ESCOLA INVÁLIDO",IF(H86&gt;G86,"❌ REJEITADO MAIOR QUE APRESENTADO",IF(AND(A86&lt;&gt;"",SUMIF($A$60:$A$559,A86,$G$60:$G$559)&gt;INDEX($G$7:$G$56,MATCH(A86,$A$7:$A$56,0))+0.01),"❌ DISTRIBUÍDO MAIS QUE O ACEITO NESSE RECEBIMENTO","OK")))))))</f>
        <v/>
      </c>
      <c r="L86" s="389">
        <f>IF(A86="","",ROW()-59)</f>
        <v/>
      </c>
    </row>
    <row r="87" hidden="1" outlineLevel="1" s="163">
      <c r="A87" s="380" t="n"/>
      <c r="B87" s="372">
        <f>IF(A87="","",IFERROR(INDEX($C$7:$C$56,MATCH(A87,$A$7:$A$56,0)),"Nº INVÁLIDO"))</f>
        <v/>
      </c>
      <c r="C87" s="372">
        <f>IF(A87="","",IFERROR(INDEX($D$7:$D$56,MATCH(A87,$A$7:$A$56,0)),"Nº INVÁLIDO"))</f>
        <v/>
      </c>
      <c r="D87" s="380" t="n"/>
      <c r="E87" s="381">
        <f>IF(D87="","",IFERROR(INDEX('Entrada de Dados'!$B$6:$B$196,MATCH(D87,'Entrada de Dados'!$A$6:$A$196,0)),"CÓDIGO INVÁLIDO"))</f>
        <v/>
      </c>
      <c r="F87" s="373" t="n"/>
      <c r="G87" s="375" t="n"/>
      <c r="H87" s="375" t="n"/>
      <c r="I87" s="376">
        <f>IF(G87="",0,MAX(G87-H87,0))</f>
        <v/>
      </c>
      <c r="J87" s="380" t="n"/>
      <c r="K87" s="162">
        <f>IF(AND(A87="",D87="",G87="",H87=""),"",IF(AND(OR(A87&lt;&gt;"",D87&lt;&gt;""),G87=""),"⏳ PENDENTE (falta qtd. apresentada)",IF(AND(G87&lt;&gt;"",OR(A87="",D87="")),"❌ FALTA Nº RECEBIMENTO/ESCOLA",IF(B87="Nº INVÁLIDO","❌ Nº DE RECEBIMENTO INVÁLIDO",IF(E87="CÓDIGO INVÁLIDO","❌ CÓDIGO DE ESCOLA INVÁLIDO",IF(H87&gt;G87,"❌ REJEITADO MAIOR QUE APRESENTADO",IF(AND(A87&lt;&gt;"",SUMIF($A$60:$A$559,A87,$G$60:$G$559)&gt;INDEX($G$7:$G$56,MATCH(A87,$A$7:$A$56,0))+0.01),"❌ DISTRIBUÍDO MAIS QUE O ACEITO NESSE RECEBIMENTO","OK")))))))</f>
        <v/>
      </c>
      <c r="L87" s="389">
        <f>IF(A87="","",ROW()-59)</f>
        <v/>
      </c>
    </row>
    <row r="88" hidden="1" outlineLevel="1" s="163">
      <c r="A88" s="380" t="n"/>
      <c r="B88" s="372">
        <f>IF(A88="","",IFERROR(INDEX($C$7:$C$56,MATCH(A88,$A$7:$A$56,0)),"Nº INVÁLIDO"))</f>
        <v/>
      </c>
      <c r="C88" s="372">
        <f>IF(A88="","",IFERROR(INDEX($D$7:$D$56,MATCH(A88,$A$7:$A$56,0)),"Nº INVÁLIDO"))</f>
        <v/>
      </c>
      <c r="D88" s="380" t="n"/>
      <c r="E88" s="381">
        <f>IF(D88="","",IFERROR(INDEX('Entrada de Dados'!$B$6:$B$196,MATCH(D88,'Entrada de Dados'!$A$6:$A$196,0)),"CÓDIGO INVÁLIDO"))</f>
        <v/>
      </c>
      <c r="F88" s="373" t="n"/>
      <c r="G88" s="375" t="n"/>
      <c r="H88" s="375" t="n"/>
      <c r="I88" s="376">
        <f>IF(G88="",0,MAX(G88-H88,0))</f>
        <v/>
      </c>
      <c r="J88" s="380" t="n"/>
      <c r="K88" s="162">
        <f>IF(AND(A88="",D88="",G88="",H88=""),"",IF(AND(OR(A88&lt;&gt;"",D88&lt;&gt;""),G88=""),"⏳ PENDENTE (falta qtd. apresentada)",IF(AND(G88&lt;&gt;"",OR(A88="",D88="")),"❌ FALTA Nº RECEBIMENTO/ESCOLA",IF(B88="Nº INVÁLIDO","❌ Nº DE RECEBIMENTO INVÁLIDO",IF(E88="CÓDIGO INVÁLIDO","❌ CÓDIGO DE ESCOLA INVÁLIDO",IF(H88&gt;G88,"❌ REJEITADO MAIOR QUE APRESENTADO",IF(AND(A88&lt;&gt;"",SUMIF($A$60:$A$559,A88,$G$60:$G$559)&gt;INDEX($G$7:$G$56,MATCH(A88,$A$7:$A$56,0))+0.01),"❌ DISTRIBUÍDO MAIS QUE O ACEITO NESSE RECEBIMENTO","OK")))))))</f>
        <v/>
      </c>
      <c r="L88" s="389">
        <f>IF(A88="","",ROW()-59)</f>
        <v/>
      </c>
    </row>
    <row r="89" hidden="1" outlineLevel="1" s="163">
      <c r="A89" s="380" t="n"/>
      <c r="B89" s="372">
        <f>IF(A89="","",IFERROR(INDEX($C$7:$C$56,MATCH(A89,$A$7:$A$56,0)),"Nº INVÁLIDO"))</f>
        <v/>
      </c>
      <c r="C89" s="372">
        <f>IF(A89="","",IFERROR(INDEX($D$7:$D$56,MATCH(A89,$A$7:$A$56,0)),"Nº INVÁLIDO"))</f>
        <v/>
      </c>
      <c r="D89" s="380" t="n"/>
      <c r="E89" s="381">
        <f>IF(D89="","",IFERROR(INDEX('Entrada de Dados'!$B$6:$B$196,MATCH(D89,'Entrada de Dados'!$A$6:$A$196,0)),"CÓDIGO INVÁLIDO"))</f>
        <v/>
      </c>
      <c r="F89" s="373" t="n"/>
      <c r="G89" s="375" t="n"/>
      <c r="H89" s="375" t="n"/>
      <c r="I89" s="376">
        <f>IF(G89="",0,MAX(G89-H89,0))</f>
        <v/>
      </c>
      <c r="J89" s="380" t="n"/>
      <c r="K89" s="162">
        <f>IF(AND(A89="",D89="",G89="",H89=""),"",IF(AND(OR(A89&lt;&gt;"",D89&lt;&gt;""),G89=""),"⏳ PENDENTE (falta qtd. apresentada)",IF(AND(G89&lt;&gt;"",OR(A89="",D89="")),"❌ FALTA Nº RECEBIMENTO/ESCOLA",IF(B89="Nº INVÁLIDO","❌ Nº DE RECEBIMENTO INVÁLIDO",IF(E89="CÓDIGO INVÁLIDO","❌ CÓDIGO DE ESCOLA INVÁLIDO",IF(H89&gt;G89,"❌ REJEITADO MAIOR QUE APRESENTADO",IF(AND(A89&lt;&gt;"",SUMIF($A$60:$A$559,A89,$G$60:$G$559)&gt;INDEX($G$7:$G$56,MATCH(A89,$A$7:$A$56,0))+0.01),"❌ DISTRIBUÍDO MAIS QUE O ACEITO NESSE RECEBIMENTO","OK")))))))</f>
        <v/>
      </c>
      <c r="L89" s="389">
        <f>IF(A89="","",ROW()-59)</f>
        <v/>
      </c>
    </row>
    <row r="90" hidden="1" outlineLevel="1" s="163">
      <c r="A90" s="380" t="n"/>
      <c r="B90" s="372">
        <f>IF(A90="","",IFERROR(INDEX($C$7:$C$56,MATCH(A90,$A$7:$A$56,0)),"Nº INVÁLIDO"))</f>
        <v/>
      </c>
      <c r="C90" s="372">
        <f>IF(A90="","",IFERROR(INDEX($D$7:$D$56,MATCH(A90,$A$7:$A$56,0)),"Nº INVÁLIDO"))</f>
        <v/>
      </c>
      <c r="D90" s="380" t="n"/>
      <c r="E90" s="381">
        <f>IF(D90="","",IFERROR(INDEX('Entrada de Dados'!$B$6:$B$196,MATCH(D90,'Entrada de Dados'!$A$6:$A$196,0)),"CÓDIGO INVÁLIDO"))</f>
        <v/>
      </c>
      <c r="F90" s="373" t="n"/>
      <c r="G90" s="375" t="n"/>
      <c r="H90" s="375" t="n"/>
      <c r="I90" s="376">
        <f>IF(G90="",0,MAX(G90-H90,0))</f>
        <v/>
      </c>
      <c r="J90" s="380" t="n"/>
      <c r="K90" s="162">
        <f>IF(AND(A90="",D90="",G90="",H90=""),"",IF(AND(OR(A90&lt;&gt;"",D90&lt;&gt;""),G90=""),"⏳ PENDENTE (falta qtd. apresentada)",IF(AND(G90&lt;&gt;"",OR(A90="",D90="")),"❌ FALTA Nº RECEBIMENTO/ESCOLA",IF(B90="Nº INVÁLIDO","❌ Nº DE RECEBIMENTO INVÁLIDO",IF(E90="CÓDIGO INVÁLIDO","❌ CÓDIGO DE ESCOLA INVÁLIDO",IF(H90&gt;G90,"❌ REJEITADO MAIOR QUE APRESENTADO",IF(AND(A90&lt;&gt;"",SUMIF($A$60:$A$559,A90,$G$60:$G$559)&gt;INDEX($G$7:$G$56,MATCH(A90,$A$7:$A$56,0))+0.01),"❌ DISTRIBUÍDO MAIS QUE O ACEITO NESSE RECEBIMENTO","OK")))))))</f>
        <v/>
      </c>
      <c r="L90" s="389">
        <f>IF(A90="","",ROW()-59)</f>
        <v/>
      </c>
    </row>
    <row r="91" hidden="1" outlineLevel="1" s="163">
      <c r="A91" s="380" t="n"/>
      <c r="B91" s="372">
        <f>IF(A91="","",IFERROR(INDEX($C$7:$C$56,MATCH(A91,$A$7:$A$56,0)),"Nº INVÁLIDO"))</f>
        <v/>
      </c>
      <c r="C91" s="372">
        <f>IF(A91="","",IFERROR(INDEX($D$7:$D$56,MATCH(A91,$A$7:$A$56,0)),"Nº INVÁLIDO"))</f>
        <v/>
      </c>
      <c r="D91" s="380" t="n"/>
      <c r="E91" s="381">
        <f>IF(D91="","",IFERROR(INDEX('Entrada de Dados'!$B$6:$B$196,MATCH(D91,'Entrada de Dados'!$A$6:$A$196,0)),"CÓDIGO INVÁLIDO"))</f>
        <v/>
      </c>
      <c r="F91" s="373" t="n"/>
      <c r="G91" s="375" t="n"/>
      <c r="H91" s="375" t="n"/>
      <c r="I91" s="376">
        <f>IF(G91="",0,MAX(G91-H91,0))</f>
        <v/>
      </c>
      <c r="J91" s="380" t="n"/>
      <c r="K91" s="162">
        <f>IF(AND(A91="",D91="",G91="",H91=""),"",IF(AND(OR(A91&lt;&gt;"",D91&lt;&gt;""),G91=""),"⏳ PENDENTE (falta qtd. apresentada)",IF(AND(G91&lt;&gt;"",OR(A91="",D91="")),"❌ FALTA Nº RECEBIMENTO/ESCOLA",IF(B91="Nº INVÁLIDO","❌ Nº DE RECEBIMENTO INVÁLIDO",IF(E91="CÓDIGO INVÁLIDO","❌ CÓDIGO DE ESCOLA INVÁLIDO",IF(H91&gt;G91,"❌ REJEITADO MAIOR QUE APRESENTADO",IF(AND(A91&lt;&gt;"",SUMIF($A$60:$A$559,A91,$G$60:$G$559)&gt;INDEX($G$7:$G$56,MATCH(A91,$A$7:$A$56,0))+0.01),"❌ DISTRIBUÍDO MAIS QUE O ACEITO NESSE RECEBIMENTO","OK")))))))</f>
        <v/>
      </c>
      <c r="L91" s="389">
        <f>IF(A91="","",ROW()-59)</f>
        <v/>
      </c>
    </row>
    <row r="92" hidden="1" outlineLevel="1" s="163">
      <c r="A92" s="380" t="n"/>
      <c r="B92" s="372">
        <f>IF(A92="","",IFERROR(INDEX($C$7:$C$56,MATCH(A92,$A$7:$A$56,0)),"Nº INVÁLIDO"))</f>
        <v/>
      </c>
      <c r="C92" s="372">
        <f>IF(A92="","",IFERROR(INDEX($D$7:$D$56,MATCH(A92,$A$7:$A$56,0)),"Nº INVÁLIDO"))</f>
        <v/>
      </c>
      <c r="D92" s="380" t="n"/>
      <c r="E92" s="381">
        <f>IF(D92="","",IFERROR(INDEX('Entrada de Dados'!$B$6:$B$196,MATCH(D92,'Entrada de Dados'!$A$6:$A$196,0)),"CÓDIGO INVÁLIDO"))</f>
        <v/>
      </c>
      <c r="F92" s="373" t="n"/>
      <c r="G92" s="375" t="n"/>
      <c r="H92" s="375" t="n"/>
      <c r="I92" s="376">
        <f>IF(G92="",0,MAX(G92-H92,0))</f>
        <v/>
      </c>
      <c r="J92" s="380" t="n"/>
      <c r="K92" s="162">
        <f>IF(AND(A92="",D92="",G92="",H92=""),"",IF(AND(OR(A92&lt;&gt;"",D92&lt;&gt;""),G92=""),"⏳ PENDENTE (falta qtd. apresentada)",IF(AND(G92&lt;&gt;"",OR(A92="",D92="")),"❌ FALTA Nº RECEBIMENTO/ESCOLA",IF(B92="Nº INVÁLIDO","❌ Nº DE RECEBIMENTO INVÁLIDO",IF(E92="CÓDIGO INVÁLIDO","❌ CÓDIGO DE ESCOLA INVÁLIDO",IF(H92&gt;G92,"❌ REJEITADO MAIOR QUE APRESENTADO",IF(AND(A92&lt;&gt;"",SUMIF($A$60:$A$559,A92,$G$60:$G$559)&gt;INDEX($G$7:$G$56,MATCH(A92,$A$7:$A$56,0))+0.01),"❌ DISTRIBUÍDO MAIS QUE O ACEITO NESSE RECEBIMENTO","OK")))))))</f>
        <v/>
      </c>
      <c r="L92" s="389">
        <f>IF(A92="","",ROW()-59)</f>
        <v/>
      </c>
    </row>
    <row r="93" hidden="1" outlineLevel="1" s="163">
      <c r="A93" s="380" t="n"/>
      <c r="B93" s="372">
        <f>IF(A93="","",IFERROR(INDEX($C$7:$C$56,MATCH(A93,$A$7:$A$56,0)),"Nº INVÁLIDO"))</f>
        <v/>
      </c>
      <c r="C93" s="372">
        <f>IF(A93="","",IFERROR(INDEX($D$7:$D$56,MATCH(A93,$A$7:$A$56,0)),"Nº INVÁLIDO"))</f>
        <v/>
      </c>
      <c r="D93" s="380" t="n"/>
      <c r="E93" s="381">
        <f>IF(D93="","",IFERROR(INDEX('Entrada de Dados'!$B$6:$B$196,MATCH(D93,'Entrada de Dados'!$A$6:$A$196,0)),"CÓDIGO INVÁLIDO"))</f>
        <v/>
      </c>
      <c r="F93" s="373" t="n"/>
      <c r="G93" s="375" t="n"/>
      <c r="H93" s="375" t="n"/>
      <c r="I93" s="376">
        <f>IF(G93="",0,MAX(G93-H93,0))</f>
        <v/>
      </c>
      <c r="J93" s="380" t="n"/>
      <c r="K93" s="162">
        <f>IF(AND(A93="",D93="",G93="",H93=""),"",IF(AND(OR(A93&lt;&gt;"",D93&lt;&gt;""),G93=""),"⏳ PENDENTE (falta qtd. apresentada)",IF(AND(G93&lt;&gt;"",OR(A93="",D93="")),"❌ FALTA Nº RECEBIMENTO/ESCOLA",IF(B93="Nº INVÁLIDO","❌ Nº DE RECEBIMENTO INVÁLIDO",IF(E93="CÓDIGO INVÁLIDO","❌ CÓDIGO DE ESCOLA INVÁLIDO",IF(H93&gt;G93,"❌ REJEITADO MAIOR QUE APRESENTADO",IF(AND(A93&lt;&gt;"",SUMIF($A$60:$A$559,A93,$G$60:$G$559)&gt;INDEX($G$7:$G$56,MATCH(A93,$A$7:$A$56,0))+0.01),"❌ DISTRIBUÍDO MAIS QUE O ACEITO NESSE RECEBIMENTO","OK")))))))</f>
        <v/>
      </c>
      <c r="L93" s="389">
        <f>IF(A93="","",ROW()-59)</f>
        <v/>
      </c>
    </row>
    <row r="94" hidden="1" outlineLevel="1" s="163">
      <c r="A94" s="380" t="n"/>
      <c r="B94" s="372">
        <f>IF(A94="","",IFERROR(INDEX($C$7:$C$56,MATCH(A94,$A$7:$A$56,0)),"Nº INVÁLIDO"))</f>
        <v/>
      </c>
      <c r="C94" s="372">
        <f>IF(A94="","",IFERROR(INDEX($D$7:$D$56,MATCH(A94,$A$7:$A$56,0)),"Nº INVÁLIDO"))</f>
        <v/>
      </c>
      <c r="D94" s="380" t="n"/>
      <c r="E94" s="381">
        <f>IF(D94="","",IFERROR(INDEX('Entrada de Dados'!$B$6:$B$196,MATCH(D94,'Entrada de Dados'!$A$6:$A$196,0)),"CÓDIGO INVÁLIDO"))</f>
        <v/>
      </c>
      <c r="F94" s="373" t="n"/>
      <c r="G94" s="375" t="n"/>
      <c r="H94" s="375" t="n"/>
      <c r="I94" s="376">
        <f>IF(G94="",0,MAX(G94-H94,0))</f>
        <v/>
      </c>
      <c r="J94" s="380" t="n"/>
      <c r="K94" s="162">
        <f>IF(AND(A94="",D94="",G94="",H94=""),"",IF(AND(OR(A94&lt;&gt;"",D94&lt;&gt;""),G94=""),"⏳ PENDENTE (falta qtd. apresentada)",IF(AND(G94&lt;&gt;"",OR(A94="",D94="")),"❌ FALTA Nº RECEBIMENTO/ESCOLA",IF(B94="Nº INVÁLIDO","❌ Nº DE RECEBIMENTO INVÁLIDO",IF(E94="CÓDIGO INVÁLIDO","❌ CÓDIGO DE ESCOLA INVÁLIDO",IF(H94&gt;G94,"❌ REJEITADO MAIOR QUE APRESENTADO",IF(AND(A94&lt;&gt;"",SUMIF($A$60:$A$559,A94,$G$60:$G$559)&gt;INDEX($G$7:$G$56,MATCH(A94,$A$7:$A$56,0))+0.01),"❌ DISTRIBUÍDO MAIS QUE O ACEITO NESSE RECEBIMENTO","OK")))))))</f>
        <v/>
      </c>
      <c r="L94" s="389">
        <f>IF(A94="","",ROW()-59)</f>
        <v/>
      </c>
    </row>
    <row r="95" hidden="1" outlineLevel="1" s="163">
      <c r="A95" s="380" t="n"/>
      <c r="B95" s="372">
        <f>IF(A95="","",IFERROR(INDEX($C$7:$C$56,MATCH(A95,$A$7:$A$56,0)),"Nº INVÁLIDO"))</f>
        <v/>
      </c>
      <c r="C95" s="372">
        <f>IF(A95="","",IFERROR(INDEX($D$7:$D$56,MATCH(A95,$A$7:$A$56,0)),"Nº INVÁLIDO"))</f>
        <v/>
      </c>
      <c r="D95" s="380" t="n"/>
      <c r="E95" s="381">
        <f>IF(D95="","",IFERROR(INDEX('Entrada de Dados'!$B$6:$B$196,MATCH(D95,'Entrada de Dados'!$A$6:$A$196,0)),"CÓDIGO INVÁLIDO"))</f>
        <v/>
      </c>
      <c r="F95" s="373" t="n"/>
      <c r="G95" s="375" t="n"/>
      <c r="H95" s="375" t="n"/>
      <c r="I95" s="376">
        <f>IF(G95="",0,MAX(G95-H95,0))</f>
        <v/>
      </c>
      <c r="J95" s="380" t="n"/>
      <c r="K95" s="162">
        <f>IF(AND(A95="",D95="",G95="",H95=""),"",IF(AND(OR(A95&lt;&gt;"",D95&lt;&gt;""),G95=""),"⏳ PENDENTE (falta qtd. apresentada)",IF(AND(G95&lt;&gt;"",OR(A95="",D95="")),"❌ FALTA Nº RECEBIMENTO/ESCOLA",IF(B95="Nº INVÁLIDO","❌ Nº DE RECEBIMENTO INVÁLIDO",IF(E95="CÓDIGO INVÁLIDO","❌ CÓDIGO DE ESCOLA INVÁLIDO",IF(H95&gt;G95,"❌ REJEITADO MAIOR QUE APRESENTADO",IF(AND(A95&lt;&gt;"",SUMIF($A$60:$A$559,A95,$G$60:$G$559)&gt;INDEX($G$7:$G$56,MATCH(A95,$A$7:$A$56,0))+0.01),"❌ DISTRIBUÍDO MAIS QUE O ACEITO NESSE RECEBIMENTO","OK")))))))</f>
        <v/>
      </c>
      <c r="L95" s="389">
        <f>IF(A95="","",ROW()-59)</f>
        <v/>
      </c>
    </row>
    <row r="96" hidden="1" outlineLevel="1" s="163">
      <c r="A96" s="380" t="n"/>
      <c r="B96" s="372">
        <f>IF(A96="","",IFERROR(INDEX($C$7:$C$56,MATCH(A96,$A$7:$A$56,0)),"Nº INVÁLIDO"))</f>
        <v/>
      </c>
      <c r="C96" s="372">
        <f>IF(A96="","",IFERROR(INDEX($D$7:$D$56,MATCH(A96,$A$7:$A$56,0)),"Nº INVÁLIDO"))</f>
        <v/>
      </c>
      <c r="D96" s="380" t="n"/>
      <c r="E96" s="381">
        <f>IF(D96="","",IFERROR(INDEX('Entrada de Dados'!$B$6:$B$196,MATCH(D96,'Entrada de Dados'!$A$6:$A$196,0)),"CÓDIGO INVÁLIDO"))</f>
        <v/>
      </c>
      <c r="F96" s="373" t="n"/>
      <c r="G96" s="375" t="n"/>
      <c r="H96" s="375" t="n"/>
      <c r="I96" s="376">
        <f>IF(G96="",0,MAX(G96-H96,0))</f>
        <v/>
      </c>
      <c r="J96" s="380" t="n"/>
      <c r="K96" s="162">
        <f>IF(AND(A96="",D96="",G96="",H96=""),"",IF(AND(OR(A96&lt;&gt;"",D96&lt;&gt;""),G96=""),"⏳ PENDENTE (falta qtd. apresentada)",IF(AND(G96&lt;&gt;"",OR(A96="",D96="")),"❌ FALTA Nº RECEBIMENTO/ESCOLA",IF(B96="Nº INVÁLIDO","❌ Nº DE RECEBIMENTO INVÁLIDO",IF(E96="CÓDIGO INVÁLIDO","❌ CÓDIGO DE ESCOLA INVÁLIDO",IF(H96&gt;G96,"❌ REJEITADO MAIOR QUE APRESENTADO",IF(AND(A96&lt;&gt;"",SUMIF($A$60:$A$559,A96,$G$60:$G$559)&gt;INDEX($G$7:$G$56,MATCH(A96,$A$7:$A$56,0))+0.01),"❌ DISTRIBUÍDO MAIS QUE O ACEITO NESSE RECEBIMENTO","OK")))))))</f>
        <v/>
      </c>
      <c r="L96" s="389">
        <f>IF(A96="","",ROW()-59)</f>
        <v/>
      </c>
    </row>
    <row r="97" hidden="1" outlineLevel="1" s="163">
      <c r="A97" s="380" t="n"/>
      <c r="B97" s="372">
        <f>IF(A97="","",IFERROR(INDEX($C$7:$C$56,MATCH(A97,$A$7:$A$56,0)),"Nº INVÁLIDO"))</f>
        <v/>
      </c>
      <c r="C97" s="372">
        <f>IF(A97="","",IFERROR(INDEX($D$7:$D$56,MATCH(A97,$A$7:$A$56,0)),"Nº INVÁLIDO"))</f>
        <v/>
      </c>
      <c r="D97" s="380" t="n"/>
      <c r="E97" s="381">
        <f>IF(D97="","",IFERROR(INDEX('Entrada de Dados'!$B$6:$B$196,MATCH(D97,'Entrada de Dados'!$A$6:$A$196,0)),"CÓDIGO INVÁLIDO"))</f>
        <v/>
      </c>
      <c r="F97" s="373" t="n"/>
      <c r="G97" s="375" t="n"/>
      <c r="H97" s="375" t="n"/>
      <c r="I97" s="376">
        <f>IF(G97="",0,MAX(G97-H97,0))</f>
        <v/>
      </c>
      <c r="J97" s="380" t="n"/>
      <c r="K97" s="162">
        <f>IF(AND(A97="",D97="",G97="",H97=""),"",IF(AND(OR(A97&lt;&gt;"",D97&lt;&gt;""),G97=""),"⏳ PENDENTE (falta qtd. apresentada)",IF(AND(G97&lt;&gt;"",OR(A97="",D97="")),"❌ FALTA Nº RECEBIMENTO/ESCOLA",IF(B97="Nº INVÁLIDO","❌ Nº DE RECEBIMENTO INVÁLIDO",IF(E97="CÓDIGO INVÁLIDO","❌ CÓDIGO DE ESCOLA INVÁLIDO",IF(H97&gt;G97,"❌ REJEITADO MAIOR QUE APRESENTADO",IF(AND(A97&lt;&gt;"",SUMIF($A$60:$A$559,A97,$G$60:$G$559)&gt;INDEX($G$7:$G$56,MATCH(A97,$A$7:$A$56,0))+0.01),"❌ DISTRIBUÍDO MAIS QUE O ACEITO NESSE RECEBIMENTO","OK")))))))</f>
        <v/>
      </c>
      <c r="L97" s="389">
        <f>IF(A97="","",ROW()-59)</f>
        <v/>
      </c>
    </row>
    <row r="98" hidden="1" outlineLevel="1" s="163">
      <c r="A98" s="380" t="n"/>
      <c r="B98" s="372">
        <f>IF(A98="","",IFERROR(INDEX($C$7:$C$56,MATCH(A98,$A$7:$A$56,0)),"Nº INVÁLIDO"))</f>
        <v/>
      </c>
      <c r="C98" s="372">
        <f>IF(A98="","",IFERROR(INDEX($D$7:$D$56,MATCH(A98,$A$7:$A$56,0)),"Nº INVÁLIDO"))</f>
        <v/>
      </c>
      <c r="D98" s="380" t="n"/>
      <c r="E98" s="381">
        <f>IF(D98="","",IFERROR(INDEX('Entrada de Dados'!$B$6:$B$196,MATCH(D98,'Entrada de Dados'!$A$6:$A$196,0)),"CÓDIGO INVÁLIDO"))</f>
        <v/>
      </c>
      <c r="F98" s="373" t="n"/>
      <c r="G98" s="375" t="n"/>
      <c r="H98" s="375" t="n"/>
      <c r="I98" s="376">
        <f>IF(G98="",0,MAX(G98-H98,0))</f>
        <v/>
      </c>
      <c r="J98" s="380" t="n"/>
      <c r="K98" s="162">
        <f>IF(AND(A98="",D98="",G98="",H98=""),"",IF(AND(OR(A98&lt;&gt;"",D98&lt;&gt;""),G98=""),"⏳ PENDENTE (falta qtd. apresentada)",IF(AND(G98&lt;&gt;"",OR(A98="",D98="")),"❌ FALTA Nº RECEBIMENTO/ESCOLA",IF(B98="Nº INVÁLIDO","❌ Nº DE RECEBIMENTO INVÁLIDO",IF(E98="CÓDIGO INVÁLIDO","❌ CÓDIGO DE ESCOLA INVÁLIDO",IF(H98&gt;G98,"❌ REJEITADO MAIOR QUE APRESENTADO",IF(AND(A98&lt;&gt;"",SUMIF($A$60:$A$559,A98,$G$60:$G$559)&gt;INDEX($G$7:$G$56,MATCH(A98,$A$7:$A$56,0))+0.01),"❌ DISTRIBUÍDO MAIS QUE O ACEITO NESSE RECEBIMENTO","OK")))))))</f>
        <v/>
      </c>
      <c r="L98" s="389">
        <f>IF(A98="","",ROW()-59)</f>
        <v/>
      </c>
    </row>
    <row r="99" hidden="1" outlineLevel="1" s="163">
      <c r="A99" s="380" t="n"/>
      <c r="B99" s="372">
        <f>IF(A99="","",IFERROR(INDEX($C$7:$C$56,MATCH(A99,$A$7:$A$56,0)),"Nº INVÁLIDO"))</f>
        <v/>
      </c>
      <c r="C99" s="372">
        <f>IF(A99="","",IFERROR(INDEX($D$7:$D$56,MATCH(A99,$A$7:$A$56,0)),"Nº INVÁLIDO"))</f>
        <v/>
      </c>
      <c r="D99" s="380" t="n"/>
      <c r="E99" s="381">
        <f>IF(D99="","",IFERROR(INDEX('Entrada de Dados'!$B$6:$B$196,MATCH(D99,'Entrada de Dados'!$A$6:$A$196,0)),"CÓDIGO INVÁLIDO"))</f>
        <v/>
      </c>
      <c r="F99" s="373" t="n"/>
      <c r="G99" s="375" t="n"/>
      <c r="H99" s="375" t="n"/>
      <c r="I99" s="376">
        <f>IF(G99="",0,MAX(G99-H99,0))</f>
        <v/>
      </c>
      <c r="J99" s="380" t="n"/>
      <c r="K99" s="162">
        <f>IF(AND(A99="",D99="",G99="",H99=""),"",IF(AND(OR(A99&lt;&gt;"",D99&lt;&gt;""),G99=""),"⏳ PENDENTE (falta qtd. apresentada)",IF(AND(G99&lt;&gt;"",OR(A99="",D99="")),"❌ FALTA Nº RECEBIMENTO/ESCOLA",IF(B99="Nº INVÁLIDO","❌ Nº DE RECEBIMENTO INVÁLIDO",IF(E99="CÓDIGO INVÁLIDO","❌ CÓDIGO DE ESCOLA INVÁLIDO",IF(H99&gt;G99,"❌ REJEITADO MAIOR QUE APRESENTADO",IF(AND(A99&lt;&gt;"",SUMIF($A$60:$A$559,A99,$G$60:$G$559)&gt;INDEX($G$7:$G$56,MATCH(A99,$A$7:$A$56,0))+0.01),"❌ DISTRIBUÍDO MAIS QUE O ACEITO NESSE RECEBIMENTO","OK")))))))</f>
        <v/>
      </c>
      <c r="L99" s="389">
        <f>IF(A99="","",ROW()-59)</f>
        <v/>
      </c>
    </row>
    <row r="100" hidden="1" outlineLevel="1" s="163">
      <c r="A100" s="380" t="n"/>
      <c r="B100" s="372">
        <f>IF(A100="","",IFERROR(INDEX($C$7:$C$56,MATCH(A100,$A$7:$A$56,0)),"Nº INVÁLIDO"))</f>
        <v/>
      </c>
      <c r="C100" s="372">
        <f>IF(A100="","",IFERROR(INDEX($D$7:$D$56,MATCH(A100,$A$7:$A$56,0)),"Nº INVÁLIDO"))</f>
        <v/>
      </c>
      <c r="D100" s="380" t="n"/>
      <c r="E100" s="381">
        <f>IF(D100="","",IFERROR(INDEX('Entrada de Dados'!$B$6:$B$196,MATCH(D100,'Entrada de Dados'!$A$6:$A$196,0)),"CÓDIGO INVÁLIDO"))</f>
        <v/>
      </c>
      <c r="F100" s="373" t="n"/>
      <c r="G100" s="375" t="n"/>
      <c r="H100" s="375" t="n"/>
      <c r="I100" s="376">
        <f>IF(G100="",0,MAX(G100-H100,0))</f>
        <v/>
      </c>
      <c r="J100" s="380" t="n"/>
      <c r="K100" s="162">
        <f>IF(AND(A100="",D100="",G100="",H100=""),"",IF(AND(OR(A100&lt;&gt;"",D100&lt;&gt;""),G100=""),"⏳ PENDENTE (falta qtd. apresentada)",IF(AND(G100&lt;&gt;"",OR(A100="",D100="")),"❌ FALTA Nº RECEBIMENTO/ESCOLA",IF(B100="Nº INVÁLIDO","❌ Nº DE RECEBIMENTO INVÁLIDO",IF(E100="CÓDIGO INVÁLIDO","❌ CÓDIGO DE ESCOLA INVÁLIDO",IF(H100&gt;G100,"❌ REJEITADO MAIOR QUE APRESENTADO",IF(AND(A100&lt;&gt;"",SUMIF($A$60:$A$559,A100,$G$60:$G$559)&gt;INDEX($G$7:$G$56,MATCH(A100,$A$7:$A$56,0))+0.01),"❌ DISTRIBUÍDO MAIS QUE O ACEITO NESSE RECEBIMENTO","OK")))))))</f>
        <v/>
      </c>
      <c r="L100" s="389">
        <f>IF(A100="","",ROW()-59)</f>
        <v/>
      </c>
    </row>
    <row r="101" hidden="1" outlineLevel="1" s="163">
      <c r="A101" s="380" t="n"/>
      <c r="B101" s="372">
        <f>IF(A101="","",IFERROR(INDEX($C$7:$C$56,MATCH(A101,$A$7:$A$56,0)),"Nº INVÁLIDO"))</f>
        <v/>
      </c>
      <c r="C101" s="372">
        <f>IF(A101="","",IFERROR(INDEX($D$7:$D$56,MATCH(A101,$A$7:$A$56,0)),"Nº INVÁLIDO"))</f>
        <v/>
      </c>
      <c r="D101" s="380" t="n"/>
      <c r="E101" s="381">
        <f>IF(D101="","",IFERROR(INDEX('Entrada de Dados'!$B$6:$B$196,MATCH(D101,'Entrada de Dados'!$A$6:$A$196,0)),"CÓDIGO INVÁLIDO"))</f>
        <v/>
      </c>
      <c r="F101" s="373" t="n"/>
      <c r="G101" s="375" t="n"/>
      <c r="H101" s="375" t="n"/>
      <c r="I101" s="376">
        <f>IF(G101="",0,MAX(G101-H101,0))</f>
        <v/>
      </c>
      <c r="J101" s="380" t="n"/>
      <c r="K101" s="162">
        <f>IF(AND(A101="",D101="",G101="",H101=""),"",IF(AND(OR(A101&lt;&gt;"",D101&lt;&gt;""),G101=""),"⏳ PENDENTE (falta qtd. apresentada)",IF(AND(G101&lt;&gt;"",OR(A101="",D101="")),"❌ FALTA Nº RECEBIMENTO/ESCOLA",IF(B101="Nº INVÁLIDO","❌ Nº DE RECEBIMENTO INVÁLIDO",IF(E101="CÓDIGO INVÁLIDO","❌ CÓDIGO DE ESCOLA INVÁLIDO",IF(H101&gt;G101,"❌ REJEITADO MAIOR QUE APRESENTADO",IF(AND(A101&lt;&gt;"",SUMIF($A$60:$A$559,A101,$G$60:$G$559)&gt;INDEX($G$7:$G$56,MATCH(A101,$A$7:$A$56,0))+0.01),"❌ DISTRIBUÍDO MAIS QUE O ACEITO NESSE RECEBIMENTO","OK")))))))</f>
        <v/>
      </c>
      <c r="L101" s="389">
        <f>IF(A101="","",ROW()-59)</f>
        <v/>
      </c>
    </row>
    <row r="102" hidden="1" outlineLevel="1" s="163">
      <c r="A102" s="380" t="n"/>
      <c r="B102" s="372">
        <f>IF(A102="","",IFERROR(INDEX($C$7:$C$56,MATCH(A102,$A$7:$A$56,0)),"Nº INVÁLIDO"))</f>
        <v/>
      </c>
      <c r="C102" s="372">
        <f>IF(A102="","",IFERROR(INDEX($D$7:$D$56,MATCH(A102,$A$7:$A$56,0)),"Nº INVÁLIDO"))</f>
        <v/>
      </c>
      <c r="D102" s="380" t="n"/>
      <c r="E102" s="381">
        <f>IF(D102="","",IFERROR(INDEX('Entrada de Dados'!$B$6:$B$196,MATCH(D102,'Entrada de Dados'!$A$6:$A$196,0)),"CÓDIGO INVÁLIDO"))</f>
        <v/>
      </c>
      <c r="F102" s="373" t="n"/>
      <c r="G102" s="375" t="n"/>
      <c r="H102" s="375" t="n"/>
      <c r="I102" s="376">
        <f>IF(G102="",0,MAX(G102-H102,0))</f>
        <v/>
      </c>
      <c r="J102" s="380" t="n"/>
      <c r="K102" s="162">
        <f>IF(AND(A102="",D102="",G102="",H102=""),"",IF(AND(OR(A102&lt;&gt;"",D102&lt;&gt;""),G102=""),"⏳ PENDENTE (falta qtd. apresentada)",IF(AND(G102&lt;&gt;"",OR(A102="",D102="")),"❌ FALTA Nº RECEBIMENTO/ESCOLA",IF(B102="Nº INVÁLIDO","❌ Nº DE RECEBIMENTO INVÁLIDO",IF(E102="CÓDIGO INVÁLIDO","❌ CÓDIGO DE ESCOLA INVÁLIDO",IF(H102&gt;G102,"❌ REJEITADO MAIOR QUE APRESENTADO",IF(AND(A102&lt;&gt;"",SUMIF($A$60:$A$559,A102,$G$60:$G$559)&gt;INDEX($G$7:$G$56,MATCH(A102,$A$7:$A$56,0))+0.01),"❌ DISTRIBUÍDO MAIS QUE O ACEITO NESSE RECEBIMENTO","OK")))))))</f>
        <v/>
      </c>
      <c r="L102" s="389">
        <f>IF(A102="","",ROW()-59)</f>
        <v/>
      </c>
    </row>
    <row r="103" hidden="1" outlineLevel="1" s="163">
      <c r="A103" s="380" t="n"/>
      <c r="B103" s="372">
        <f>IF(A103="","",IFERROR(INDEX($C$7:$C$56,MATCH(A103,$A$7:$A$56,0)),"Nº INVÁLIDO"))</f>
        <v/>
      </c>
      <c r="C103" s="372">
        <f>IF(A103="","",IFERROR(INDEX($D$7:$D$56,MATCH(A103,$A$7:$A$56,0)),"Nº INVÁLIDO"))</f>
        <v/>
      </c>
      <c r="D103" s="380" t="n"/>
      <c r="E103" s="381">
        <f>IF(D103="","",IFERROR(INDEX('Entrada de Dados'!$B$6:$B$196,MATCH(D103,'Entrada de Dados'!$A$6:$A$196,0)),"CÓDIGO INVÁLIDO"))</f>
        <v/>
      </c>
      <c r="F103" s="373" t="n"/>
      <c r="G103" s="375" t="n"/>
      <c r="H103" s="375" t="n"/>
      <c r="I103" s="376">
        <f>IF(G103="",0,MAX(G103-H103,0))</f>
        <v/>
      </c>
      <c r="J103" s="380" t="n"/>
      <c r="K103" s="162">
        <f>IF(AND(A103="",D103="",G103="",H103=""),"",IF(AND(OR(A103&lt;&gt;"",D103&lt;&gt;""),G103=""),"⏳ PENDENTE (falta qtd. apresentada)",IF(AND(G103&lt;&gt;"",OR(A103="",D103="")),"❌ FALTA Nº RECEBIMENTO/ESCOLA",IF(B103="Nº INVÁLIDO","❌ Nº DE RECEBIMENTO INVÁLIDO",IF(E103="CÓDIGO INVÁLIDO","❌ CÓDIGO DE ESCOLA INVÁLIDO",IF(H103&gt;G103,"❌ REJEITADO MAIOR QUE APRESENTADO",IF(AND(A103&lt;&gt;"",SUMIF($A$60:$A$559,A103,$G$60:$G$559)&gt;INDEX($G$7:$G$56,MATCH(A103,$A$7:$A$56,0))+0.01),"❌ DISTRIBUÍDO MAIS QUE O ACEITO NESSE RECEBIMENTO","OK")))))))</f>
        <v/>
      </c>
      <c r="L103" s="389">
        <f>IF(A103="","",ROW()-59)</f>
        <v/>
      </c>
    </row>
    <row r="104" hidden="1" outlineLevel="1" s="163">
      <c r="A104" s="380" t="n"/>
      <c r="B104" s="372">
        <f>IF(A104="","",IFERROR(INDEX($C$7:$C$56,MATCH(A104,$A$7:$A$56,0)),"Nº INVÁLIDO"))</f>
        <v/>
      </c>
      <c r="C104" s="372">
        <f>IF(A104="","",IFERROR(INDEX($D$7:$D$56,MATCH(A104,$A$7:$A$56,0)),"Nº INVÁLIDO"))</f>
        <v/>
      </c>
      <c r="D104" s="380" t="n"/>
      <c r="E104" s="381">
        <f>IF(D104="","",IFERROR(INDEX('Entrada de Dados'!$B$6:$B$196,MATCH(D104,'Entrada de Dados'!$A$6:$A$196,0)),"CÓDIGO INVÁLIDO"))</f>
        <v/>
      </c>
      <c r="F104" s="373" t="n"/>
      <c r="G104" s="375" t="n"/>
      <c r="H104" s="375" t="n"/>
      <c r="I104" s="376">
        <f>IF(G104="",0,MAX(G104-H104,0))</f>
        <v/>
      </c>
      <c r="J104" s="380" t="n"/>
      <c r="K104" s="162">
        <f>IF(AND(A104="",D104="",G104="",H104=""),"",IF(AND(OR(A104&lt;&gt;"",D104&lt;&gt;""),G104=""),"⏳ PENDENTE (falta qtd. apresentada)",IF(AND(G104&lt;&gt;"",OR(A104="",D104="")),"❌ FALTA Nº RECEBIMENTO/ESCOLA",IF(B104="Nº INVÁLIDO","❌ Nº DE RECEBIMENTO INVÁLIDO",IF(E104="CÓDIGO INVÁLIDO","❌ CÓDIGO DE ESCOLA INVÁLIDO",IF(H104&gt;G104,"❌ REJEITADO MAIOR QUE APRESENTADO",IF(AND(A104&lt;&gt;"",SUMIF($A$60:$A$559,A104,$G$60:$G$559)&gt;INDEX($G$7:$G$56,MATCH(A104,$A$7:$A$56,0))+0.01),"❌ DISTRIBUÍDO MAIS QUE O ACEITO NESSE RECEBIMENTO","OK")))))))</f>
        <v/>
      </c>
      <c r="L104" s="389">
        <f>IF(A104="","",ROW()-59)</f>
        <v/>
      </c>
    </row>
    <row r="105" hidden="1" outlineLevel="1" s="163">
      <c r="A105" s="380" t="n"/>
      <c r="B105" s="372">
        <f>IF(A105="","",IFERROR(INDEX($C$7:$C$56,MATCH(A105,$A$7:$A$56,0)),"Nº INVÁLIDO"))</f>
        <v/>
      </c>
      <c r="C105" s="372">
        <f>IF(A105="","",IFERROR(INDEX($D$7:$D$56,MATCH(A105,$A$7:$A$56,0)),"Nº INVÁLIDO"))</f>
        <v/>
      </c>
      <c r="D105" s="380" t="n"/>
      <c r="E105" s="381">
        <f>IF(D105="","",IFERROR(INDEX('Entrada de Dados'!$B$6:$B$196,MATCH(D105,'Entrada de Dados'!$A$6:$A$196,0)),"CÓDIGO INVÁLIDO"))</f>
        <v/>
      </c>
      <c r="F105" s="373" t="n"/>
      <c r="G105" s="375" t="n"/>
      <c r="H105" s="375" t="n"/>
      <c r="I105" s="376">
        <f>IF(G105="",0,MAX(G105-H105,0))</f>
        <v/>
      </c>
      <c r="J105" s="380" t="n"/>
      <c r="K105" s="162">
        <f>IF(AND(A105="",D105="",G105="",H105=""),"",IF(AND(OR(A105&lt;&gt;"",D105&lt;&gt;""),G105=""),"⏳ PENDENTE (falta qtd. apresentada)",IF(AND(G105&lt;&gt;"",OR(A105="",D105="")),"❌ FALTA Nº RECEBIMENTO/ESCOLA",IF(B105="Nº INVÁLIDO","❌ Nº DE RECEBIMENTO INVÁLIDO",IF(E105="CÓDIGO INVÁLIDO","❌ CÓDIGO DE ESCOLA INVÁLIDO",IF(H105&gt;G105,"❌ REJEITADO MAIOR QUE APRESENTADO",IF(AND(A105&lt;&gt;"",SUMIF($A$60:$A$559,A105,$G$60:$G$559)&gt;INDEX($G$7:$G$56,MATCH(A105,$A$7:$A$56,0))+0.01),"❌ DISTRIBUÍDO MAIS QUE O ACEITO NESSE RECEBIMENTO","OK")))))))</f>
        <v/>
      </c>
      <c r="L105" s="389">
        <f>IF(A105="","",ROW()-59)</f>
        <v/>
      </c>
    </row>
    <row r="106" hidden="1" outlineLevel="1" s="163">
      <c r="A106" s="380" t="n"/>
      <c r="B106" s="372">
        <f>IF(A106="","",IFERROR(INDEX($C$7:$C$56,MATCH(A106,$A$7:$A$56,0)),"Nº INVÁLIDO"))</f>
        <v/>
      </c>
      <c r="C106" s="372">
        <f>IF(A106="","",IFERROR(INDEX($D$7:$D$56,MATCH(A106,$A$7:$A$56,0)),"Nº INVÁLIDO"))</f>
        <v/>
      </c>
      <c r="D106" s="380" t="n"/>
      <c r="E106" s="381">
        <f>IF(D106="","",IFERROR(INDEX('Entrada de Dados'!$B$6:$B$196,MATCH(D106,'Entrada de Dados'!$A$6:$A$196,0)),"CÓDIGO INVÁLIDO"))</f>
        <v/>
      </c>
      <c r="F106" s="373" t="n"/>
      <c r="G106" s="375" t="n"/>
      <c r="H106" s="375" t="n"/>
      <c r="I106" s="376">
        <f>IF(G106="",0,MAX(G106-H106,0))</f>
        <v/>
      </c>
      <c r="J106" s="380" t="n"/>
      <c r="K106" s="162">
        <f>IF(AND(A106="",D106="",G106="",H106=""),"",IF(AND(OR(A106&lt;&gt;"",D106&lt;&gt;""),G106=""),"⏳ PENDENTE (falta qtd. apresentada)",IF(AND(G106&lt;&gt;"",OR(A106="",D106="")),"❌ FALTA Nº RECEBIMENTO/ESCOLA",IF(B106="Nº INVÁLIDO","❌ Nº DE RECEBIMENTO INVÁLIDO",IF(E106="CÓDIGO INVÁLIDO","❌ CÓDIGO DE ESCOLA INVÁLIDO",IF(H106&gt;G106,"❌ REJEITADO MAIOR QUE APRESENTADO",IF(AND(A106&lt;&gt;"",SUMIF($A$60:$A$559,A106,$G$60:$G$559)&gt;INDEX($G$7:$G$56,MATCH(A106,$A$7:$A$56,0))+0.01),"❌ DISTRIBUÍDO MAIS QUE O ACEITO NESSE RECEBIMENTO","OK")))))))</f>
        <v/>
      </c>
      <c r="L106" s="389">
        <f>IF(A106="","",ROW()-59)</f>
        <v/>
      </c>
    </row>
    <row r="107" hidden="1" outlineLevel="1" s="163">
      <c r="A107" s="380" t="n"/>
      <c r="B107" s="372">
        <f>IF(A107="","",IFERROR(INDEX($C$7:$C$56,MATCH(A107,$A$7:$A$56,0)),"Nº INVÁLIDO"))</f>
        <v/>
      </c>
      <c r="C107" s="372">
        <f>IF(A107="","",IFERROR(INDEX($D$7:$D$56,MATCH(A107,$A$7:$A$56,0)),"Nº INVÁLIDO"))</f>
        <v/>
      </c>
      <c r="D107" s="380" t="n"/>
      <c r="E107" s="381">
        <f>IF(D107="","",IFERROR(INDEX('Entrada de Dados'!$B$6:$B$196,MATCH(D107,'Entrada de Dados'!$A$6:$A$196,0)),"CÓDIGO INVÁLIDO"))</f>
        <v/>
      </c>
      <c r="F107" s="373" t="n"/>
      <c r="G107" s="375" t="n"/>
      <c r="H107" s="375" t="n"/>
      <c r="I107" s="376">
        <f>IF(G107="",0,MAX(G107-H107,0))</f>
        <v/>
      </c>
      <c r="J107" s="380" t="n"/>
      <c r="K107" s="162">
        <f>IF(AND(A107="",D107="",G107="",H107=""),"",IF(AND(OR(A107&lt;&gt;"",D107&lt;&gt;""),G107=""),"⏳ PENDENTE (falta qtd. apresentada)",IF(AND(G107&lt;&gt;"",OR(A107="",D107="")),"❌ FALTA Nº RECEBIMENTO/ESCOLA",IF(B107="Nº INVÁLIDO","❌ Nº DE RECEBIMENTO INVÁLIDO",IF(E107="CÓDIGO INVÁLIDO","❌ CÓDIGO DE ESCOLA INVÁLIDO",IF(H107&gt;G107,"❌ REJEITADO MAIOR QUE APRESENTADO",IF(AND(A107&lt;&gt;"",SUMIF($A$60:$A$559,A107,$G$60:$G$559)&gt;INDEX($G$7:$G$56,MATCH(A107,$A$7:$A$56,0))+0.01),"❌ DISTRIBUÍDO MAIS QUE O ACEITO NESSE RECEBIMENTO","OK")))))))</f>
        <v/>
      </c>
      <c r="L107" s="389">
        <f>IF(A107="","",ROW()-59)</f>
        <v/>
      </c>
    </row>
    <row r="108" hidden="1" outlineLevel="1" s="163">
      <c r="A108" s="380" t="n"/>
      <c r="B108" s="372">
        <f>IF(A108="","",IFERROR(INDEX($C$7:$C$56,MATCH(A108,$A$7:$A$56,0)),"Nº INVÁLIDO"))</f>
        <v/>
      </c>
      <c r="C108" s="372">
        <f>IF(A108="","",IFERROR(INDEX($D$7:$D$56,MATCH(A108,$A$7:$A$56,0)),"Nº INVÁLIDO"))</f>
        <v/>
      </c>
      <c r="D108" s="380" t="n"/>
      <c r="E108" s="381">
        <f>IF(D108="","",IFERROR(INDEX('Entrada de Dados'!$B$6:$B$196,MATCH(D108,'Entrada de Dados'!$A$6:$A$196,0)),"CÓDIGO INVÁLIDO"))</f>
        <v/>
      </c>
      <c r="F108" s="373" t="n"/>
      <c r="G108" s="375" t="n"/>
      <c r="H108" s="375" t="n"/>
      <c r="I108" s="376">
        <f>IF(G108="",0,MAX(G108-H108,0))</f>
        <v/>
      </c>
      <c r="J108" s="380" t="n"/>
      <c r="K108" s="162">
        <f>IF(AND(A108="",D108="",G108="",H108=""),"",IF(AND(OR(A108&lt;&gt;"",D108&lt;&gt;""),G108=""),"⏳ PENDENTE (falta qtd. apresentada)",IF(AND(G108&lt;&gt;"",OR(A108="",D108="")),"❌ FALTA Nº RECEBIMENTO/ESCOLA",IF(B108="Nº INVÁLIDO","❌ Nº DE RECEBIMENTO INVÁLIDO",IF(E108="CÓDIGO INVÁLIDO","❌ CÓDIGO DE ESCOLA INVÁLIDO",IF(H108&gt;G108,"❌ REJEITADO MAIOR QUE APRESENTADO",IF(AND(A108&lt;&gt;"",SUMIF($A$60:$A$559,A108,$G$60:$G$559)&gt;INDEX($G$7:$G$56,MATCH(A108,$A$7:$A$56,0))+0.01),"❌ DISTRIBUÍDO MAIS QUE O ACEITO NESSE RECEBIMENTO","OK")))))))</f>
        <v/>
      </c>
      <c r="L108" s="389">
        <f>IF(A108="","",ROW()-59)</f>
        <v/>
      </c>
    </row>
    <row r="109" hidden="1" outlineLevel="1" s="163">
      <c r="A109" s="380" t="n"/>
      <c r="B109" s="372">
        <f>IF(A109="","",IFERROR(INDEX($C$7:$C$56,MATCH(A109,$A$7:$A$56,0)),"Nº INVÁLIDO"))</f>
        <v/>
      </c>
      <c r="C109" s="372">
        <f>IF(A109="","",IFERROR(INDEX($D$7:$D$56,MATCH(A109,$A$7:$A$56,0)),"Nº INVÁLIDO"))</f>
        <v/>
      </c>
      <c r="D109" s="380" t="n"/>
      <c r="E109" s="381">
        <f>IF(D109="","",IFERROR(INDEX('Entrada de Dados'!$B$6:$B$196,MATCH(D109,'Entrada de Dados'!$A$6:$A$196,0)),"CÓDIGO INVÁLIDO"))</f>
        <v/>
      </c>
      <c r="F109" s="373" t="n"/>
      <c r="G109" s="375" t="n"/>
      <c r="H109" s="375" t="n"/>
      <c r="I109" s="376">
        <f>IF(G109="",0,MAX(G109-H109,0))</f>
        <v/>
      </c>
      <c r="J109" s="380" t="n"/>
      <c r="K109" s="162">
        <f>IF(AND(A109="",D109="",G109="",H109=""),"",IF(AND(OR(A109&lt;&gt;"",D109&lt;&gt;""),G109=""),"⏳ PENDENTE (falta qtd. apresentada)",IF(AND(G109&lt;&gt;"",OR(A109="",D109="")),"❌ FALTA Nº RECEBIMENTO/ESCOLA",IF(B109="Nº INVÁLIDO","❌ Nº DE RECEBIMENTO INVÁLIDO",IF(E109="CÓDIGO INVÁLIDO","❌ CÓDIGO DE ESCOLA INVÁLIDO",IF(H109&gt;G109,"❌ REJEITADO MAIOR QUE APRESENTADO",IF(AND(A109&lt;&gt;"",SUMIF($A$60:$A$559,A109,$G$60:$G$559)&gt;INDEX($G$7:$G$56,MATCH(A109,$A$7:$A$56,0))+0.01),"❌ DISTRIBUÍDO MAIS QUE O ACEITO NESSE RECEBIMENTO","OK")))))))</f>
        <v/>
      </c>
      <c r="L109" s="389">
        <f>IF(A109="","",ROW()-59)</f>
        <v/>
      </c>
    </row>
    <row r="110" hidden="1" outlineLevel="1" s="163">
      <c r="A110" s="380" t="n"/>
      <c r="B110" s="372">
        <f>IF(A110="","",IFERROR(INDEX($C$7:$C$56,MATCH(A110,$A$7:$A$56,0)),"Nº INVÁLIDO"))</f>
        <v/>
      </c>
      <c r="C110" s="372">
        <f>IF(A110="","",IFERROR(INDEX($D$7:$D$56,MATCH(A110,$A$7:$A$56,0)),"Nº INVÁLIDO"))</f>
        <v/>
      </c>
      <c r="D110" s="380" t="n"/>
      <c r="E110" s="381">
        <f>IF(D110="","",IFERROR(INDEX('Entrada de Dados'!$B$6:$B$196,MATCH(D110,'Entrada de Dados'!$A$6:$A$196,0)),"CÓDIGO INVÁLIDO"))</f>
        <v/>
      </c>
      <c r="F110" s="373" t="n"/>
      <c r="G110" s="375" t="n"/>
      <c r="H110" s="375" t="n"/>
      <c r="I110" s="376">
        <f>IF(G110="",0,MAX(G110-H110,0))</f>
        <v/>
      </c>
      <c r="J110" s="380" t="n"/>
      <c r="K110" s="162">
        <f>IF(AND(A110="",D110="",G110="",H110=""),"",IF(AND(OR(A110&lt;&gt;"",D110&lt;&gt;""),G110=""),"⏳ PENDENTE (falta qtd. apresentada)",IF(AND(G110&lt;&gt;"",OR(A110="",D110="")),"❌ FALTA Nº RECEBIMENTO/ESCOLA",IF(B110="Nº INVÁLIDO","❌ Nº DE RECEBIMENTO INVÁLIDO",IF(E110="CÓDIGO INVÁLIDO","❌ CÓDIGO DE ESCOLA INVÁLIDO",IF(H110&gt;G110,"❌ REJEITADO MAIOR QUE APRESENTADO",IF(AND(A110&lt;&gt;"",SUMIF($A$60:$A$559,A110,$G$60:$G$559)&gt;INDEX($G$7:$G$56,MATCH(A110,$A$7:$A$56,0))+0.01),"❌ DISTRIBUÍDO MAIS QUE O ACEITO NESSE RECEBIMENTO","OK")))))))</f>
        <v/>
      </c>
      <c r="L110" s="389">
        <f>IF(A110="","",ROW()-59)</f>
        <v/>
      </c>
    </row>
    <row r="111" hidden="1" outlineLevel="1" s="163">
      <c r="A111" s="380" t="n"/>
      <c r="B111" s="372">
        <f>IF(A111="","",IFERROR(INDEX($C$7:$C$56,MATCH(A111,$A$7:$A$56,0)),"Nº INVÁLIDO"))</f>
        <v/>
      </c>
      <c r="C111" s="372">
        <f>IF(A111="","",IFERROR(INDEX($D$7:$D$56,MATCH(A111,$A$7:$A$56,0)),"Nº INVÁLIDO"))</f>
        <v/>
      </c>
      <c r="D111" s="380" t="n"/>
      <c r="E111" s="381">
        <f>IF(D111="","",IFERROR(INDEX('Entrada de Dados'!$B$6:$B$196,MATCH(D111,'Entrada de Dados'!$A$6:$A$196,0)),"CÓDIGO INVÁLIDO"))</f>
        <v/>
      </c>
      <c r="F111" s="373" t="n"/>
      <c r="G111" s="375" t="n"/>
      <c r="H111" s="375" t="n"/>
      <c r="I111" s="376">
        <f>IF(G111="",0,MAX(G111-H111,0))</f>
        <v/>
      </c>
      <c r="J111" s="380" t="n"/>
      <c r="K111" s="162">
        <f>IF(AND(A111="",D111="",G111="",H111=""),"",IF(AND(OR(A111&lt;&gt;"",D111&lt;&gt;""),G111=""),"⏳ PENDENTE (falta qtd. apresentada)",IF(AND(G111&lt;&gt;"",OR(A111="",D111="")),"❌ FALTA Nº RECEBIMENTO/ESCOLA",IF(B111="Nº INVÁLIDO","❌ Nº DE RECEBIMENTO INVÁLIDO",IF(E111="CÓDIGO INVÁLIDO","❌ CÓDIGO DE ESCOLA INVÁLIDO",IF(H111&gt;G111,"❌ REJEITADO MAIOR QUE APRESENTADO",IF(AND(A111&lt;&gt;"",SUMIF($A$60:$A$559,A111,$G$60:$G$559)&gt;INDEX($G$7:$G$56,MATCH(A111,$A$7:$A$56,0))+0.01),"❌ DISTRIBUÍDO MAIS QUE O ACEITO NESSE RECEBIMENTO","OK")))))))</f>
        <v/>
      </c>
      <c r="L111" s="389">
        <f>IF(A111="","",ROW()-59)</f>
        <v/>
      </c>
    </row>
    <row r="112" hidden="1" outlineLevel="1" s="163">
      <c r="A112" s="380" t="n"/>
      <c r="B112" s="372">
        <f>IF(A112="","",IFERROR(INDEX($C$7:$C$56,MATCH(A112,$A$7:$A$56,0)),"Nº INVÁLIDO"))</f>
        <v/>
      </c>
      <c r="C112" s="372">
        <f>IF(A112="","",IFERROR(INDEX($D$7:$D$56,MATCH(A112,$A$7:$A$56,0)),"Nº INVÁLIDO"))</f>
        <v/>
      </c>
      <c r="D112" s="380" t="n"/>
      <c r="E112" s="381">
        <f>IF(D112="","",IFERROR(INDEX('Entrada de Dados'!$B$6:$B$196,MATCH(D112,'Entrada de Dados'!$A$6:$A$196,0)),"CÓDIGO INVÁLIDO"))</f>
        <v/>
      </c>
      <c r="F112" s="373" t="n"/>
      <c r="G112" s="375" t="n"/>
      <c r="H112" s="375" t="n"/>
      <c r="I112" s="376">
        <f>IF(G112="",0,MAX(G112-H112,0))</f>
        <v/>
      </c>
      <c r="J112" s="380" t="n"/>
      <c r="K112" s="162">
        <f>IF(AND(A112="",D112="",G112="",H112=""),"",IF(AND(OR(A112&lt;&gt;"",D112&lt;&gt;""),G112=""),"⏳ PENDENTE (falta qtd. apresentada)",IF(AND(G112&lt;&gt;"",OR(A112="",D112="")),"❌ FALTA Nº RECEBIMENTO/ESCOLA",IF(B112="Nº INVÁLIDO","❌ Nº DE RECEBIMENTO INVÁLIDO",IF(E112="CÓDIGO INVÁLIDO","❌ CÓDIGO DE ESCOLA INVÁLIDO",IF(H112&gt;G112,"❌ REJEITADO MAIOR QUE APRESENTADO",IF(AND(A112&lt;&gt;"",SUMIF($A$60:$A$559,A112,$G$60:$G$559)&gt;INDEX($G$7:$G$56,MATCH(A112,$A$7:$A$56,0))+0.01),"❌ DISTRIBUÍDO MAIS QUE O ACEITO NESSE RECEBIMENTO","OK")))))))</f>
        <v/>
      </c>
      <c r="L112" s="389">
        <f>IF(A112="","",ROW()-59)</f>
        <v/>
      </c>
    </row>
    <row r="113" hidden="1" outlineLevel="1" s="163">
      <c r="A113" s="380" t="n"/>
      <c r="B113" s="372">
        <f>IF(A113="","",IFERROR(INDEX($C$7:$C$56,MATCH(A113,$A$7:$A$56,0)),"Nº INVÁLIDO"))</f>
        <v/>
      </c>
      <c r="C113" s="372">
        <f>IF(A113="","",IFERROR(INDEX($D$7:$D$56,MATCH(A113,$A$7:$A$56,0)),"Nº INVÁLIDO"))</f>
        <v/>
      </c>
      <c r="D113" s="380" t="n"/>
      <c r="E113" s="381">
        <f>IF(D113="","",IFERROR(INDEX('Entrada de Dados'!$B$6:$B$196,MATCH(D113,'Entrada de Dados'!$A$6:$A$196,0)),"CÓDIGO INVÁLIDO"))</f>
        <v/>
      </c>
      <c r="F113" s="373" t="n"/>
      <c r="G113" s="375" t="n"/>
      <c r="H113" s="375" t="n"/>
      <c r="I113" s="376">
        <f>IF(G113="",0,MAX(G113-H113,0))</f>
        <v/>
      </c>
      <c r="J113" s="380" t="n"/>
      <c r="K113" s="162">
        <f>IF(AND(A113="",D113="",G113="",H113=""),"",IF(AND(OR(A113&lt;&gt;"",D113&lt;&gt;""),G113=""),"⏳ PENDENTE (falta qtd. apresentada)",IF(AND(G113&lt;&gt;"",OR(A113="",D113="")),"❌ FALTA Nº RECEBIMENTO/ESCOLA",IF(B113="Nº INVÁLIDO","❌ Nº DE RECEBIMENTO INVÁLIDO",IF(E113="CÓDIGO INVÁLIDO","❌ CÓDIGO DE ESCOLA INVÁLIDO",IF(H113&gt;G113,"❌ REJEITADO MAIOR QUE APRESENTADO",IF(AND(A113&lt;&gt;"",SUMIF($A$60:$A$559,A113,$G$60:$G$559)&gt;INDEX($G$7:$G$56,MATCH(A113,$A$7:$A$56,0))+0.01),"❌ DISTRIBUÍDO MAIS QUE O ACEITO NESSE RECEBIMENTO","OK")))))))</f>
        <v/>
      </c>
      <c r="L113" s="389">
        <f>IF(A113="","",ROW()-59)</f>
        <v/>
      </c>
    </row>
    <row r="114" hidden="1" outlineLevel="1" s="163">
      <c r="A114" s="380" t="n"/>
      <c r="B114" s="372">
        <f>IF(A114="","",IFERROR(INDEX($C$7:$C$56,MATCH(A114,$A$7:$A$56,0)),"Nº INVÁLIDO"))</f>
        <v/>
      </c>
      <c r="C114" s="372">
        <f>IF(A114="","",IFERROR(INDEX($D$7:$D$56,MATCH(A114,$A$7:$A$56,0)),"Nº INVÁLIDO"))</f>
        <v/>
      </c>
      <c r="D114" s="380" t="n"/>
      <c r="E114" s="381">
        <f>IF(D114="","",IFERROR(INDEX('Entrada de Dados'!$B$6:$B$196,MATCH(D114,'Entrada de Dados'!$A$6:$A$196,0)),"CÓDIGO INVÁLIDO"))</f>
        <v/>
      </c>
      <c r="F114" s="373" t="n"/>
      <c r="G114" s="375" t="n"/>
      <c r="H114" s="375" t="n"/>
      <c r="I114" s="376">
        <f>IF(G114="",0,MAX(G114-H114,0))</f>
        <v/>
      </c>
      <c r="J114" s="380" t="n"/>
      <c r="K114" s="162">
        <f>IF(AND(A114="",D114="",G114="",H114=""),"",IF(AND(OR(A114&lt;&gt;"",D114&lt;&gt;""),G114=""),"⏳ PENDENTE (falta qtd. apresentada)",IF(AND(G114&lt;&gt;"",OR(A114="",D114="")),"❌ FALTA Nº RECEBIMENTO/ESCOLA",IF(B114="Nº INVÁLIDO","❌ Nº DE RECEBIMENTO INVÁLIDO",IF(E114="CÓDIGO INVÁLIDO","❌ CÓDIGO DE ESCOLA INVÁLIDO",IF(H114&gt;G114,"❌ REJEITADO MAIOR QUE APRESENTADO",IF(AND(A114&lt;&gt;"",SUMIF($A$60:$A$559,A114,$G$60:$G$559)&gt;INDEX($G$7:$G$56,MATCH(A114,$A$7:$A$56,0))+0.01),"❌ DISTRIBUÍDO MAIS QUE O ACEITO NESSE RECEBIMENTO","OK")))))))</f>
        <v/>
      </c>
      <c r="L114" s="389">
        <f>IF(A114="","",ROW()-59)</f>
        <v/>
      </c>
    </row>
    <row r="115" hidden="1" outlineLevel="1" s="163">
      <c r="A115" s="380" t="n"/>
      <c r="B115" s="372">
        <f>IF(A115="","",IFERROR(INDEX($C$7:$C$56,MATCH(A115,$A$7:$A$56,0)),"Nº INVÁLIDO"))</f>
        <v/>
      </c>
      <c r="C115" s="372">
        <f>IF(A115="","",IFERROR(INDEX($D$7:$D$56,MATCH(A115,$A$7:$A$56,0)),"Nº INVÁLIDO"))</f>
        <v/>
      </c>
      <c r="D115" s="380" t="n"/>
      <c r="E115" s="381">
        <f>IF(D115="","",IFERROR(INDEX('Entrada de Dados'!$B$6:$B$196,MATCH(D115,'Entrada de Dados'!$A$6:$A$196,0)),"CÓDIGO INVÁLIDO"))</f>
        <v/>
      </c>
      <c r="F115" s="373" t="n"/>
      <c r="G115" s="375" t="n"/>
      <c r="H115" s="375" t="n"/>
      <c r="I115" s="376">
        <f>IF(G115="",0,MAX(G115-H115,0))</f>
        <v/>
      </c>
      <c r="J115" s="380" t="n"/>
      <c r="K115" s="162">
        <f>IF(AND(A115="",D115="",G115="",H115=""),"",IF(AND(OR(A115&lt;&gt;"",D115&lt;&gt;""),G115=""),"⏳ PENDENTE (falta qtd. apresentada)",IF(AND(G115&lt;&gt;"",OR(A115="",D115="")),"❌ FALTA Nº RECEBIMENTO/ESCOLA",IF(B115="Nº INVÁLIDO","❌ Nº DE RECEBIMENTO INVÁLIDO",IF(E115="CÓDIGO INVÁLIDO","❌ CÓDIGO DE ESCOLA INVÁLIDO",IF(H115&gt;G115,"❌ REJEITADO MAIOR QUE APRESENTADO",IF(AND(A115&lt;&gt;"",SUMIF($A$60:$A$559,A115,$G$60:$G$559)&gt;INDEX($G$7:$G$56,MATCH(A115,$A$7:$A$56,0))+0.01),"❌ DISTRIBUÍDO MAIS QUE O ACEITO NESSE RECEBIMENTO","OK")))))))</f>
        <v/>
      </c>
      <c r="L115" s="389">
        <f>IF(A115="","",ROW()-59)</f>
        <v/>
      </c>
    </row>
    <row r="116" hidden="1" outlineLevel="1" s="163">
      <c r="A116" s="380" t="n"/>
      <c r="B116" s="372">
        <f>IF(A116="","",IFERROR(INDEX($C$7:$C$56,MATCH(A116,$A$7:$A$56,0)),"Nº INVÁLIDO"))</f>
        <v/>
      </c>
      <c r="C116" s="372">
        <f>IF(A116="","",IFERROR(INDEX($D$7:$D$56,MATCH(A116,$A$7:$A$56,0)),"Nº INVÁLIDO"))</f>
        <v/>
      </c>
      <c r="D116" s="380" t="n"/>
      <c r="E116" s="381">
        <f>IF(D116="","",IFERROR(INDEX('Entrada de Dados'!$B$6:$B$196,MATCH(D116,'Entrada de Dados'!$A$6:$A$196,0)),"CÓDIGO INVÁLIDO"))</f>
        <v/>
      </c>
      <c r="F116" s="373" t="n"/>
      <c r="G116" s="375" t="n"/>
      <c r="H116" s="375" t="n"/>
      <c r="I116" s="376">
        <f>IF(G116="",0,MAX(G116-H116,0))</f>
        <v/>
      </c>
      <c r="J116" s="380" t="n"/>
      <c r="K116" s="162">
        <f>IF(AND(A116="",D116="",G116="",H116=""),"",IF(AND(OR(A116&lt;&gt;"",D116&lt;&gt;""),G116=""),"⏳ PENDENTE (falta qtd. apresentada)",IF(AND(G116&lt;&gt;"",OR(A116="",D116="")),"❌ FALTA Nº RECEBIMENTO/ESCOLA",IF(B116="Nº INVÁLIDO","❌ Nº DE RECEBIMENTO INVÁLIDO",IF(E116="CÓDIGO INVÁLIDO","❌ CÓDIGO DE ESCOLA INVÁLIDO",IF(H116&gt;G116,"❌ REJEITADO MAIOR QUE APRESENTADO",IF(AND(A116&lt;&gt;"",SUMIF($A$60:$A$559,A116,$G$60:$G$559)&gt;INDEX($G$7:$G$56,MATCH(A116,$A$7:$A$56,0))+0.01),"❌ DISTRIBUÍDO MAIS QUE O ACEITO NESSE RECEBIMENTO","OK")))))))</f>
        <v/>
      </c>
      <c r="L116" s="389">
        <f>IF(A116="","",ROW()-59)</f>
        <v/>
      </c>
    </row>
    <row r="117" hidden="1" outlineLevel="1" s="163">
      <c r="A117" s="380" t="n"/>
      <c r="B117" s="372">
        <f>IF(A117="","",IFERROR(INDEX($C$7:$C$56,MATCH(A117,$A$7:$A$56,0)),"Nº INVÁLIDO"))</f>
        <v/>
      </c>
      <c r="C117" s="372">
        <f>IF(A117="","",IFERROR(INDEX($D$7:$D$56,MATCH(A117,$A$7:$A$56,0)),"Nº INVÁLIDO"))</f>
        <v/>
      </c>
      <c r="D117" s="380" t="n"/>
      <c r="E117" s="381">
        <f>IF(D117="","",IFERROR(INDEX('Entrada de Dados'!$B$6:$B$196,MATCH(D117,'Entrada de Dados'!$A$6:$A$196,0)),"CÓDIGO INVÁLIDO"))</f>
        <v/>
      </c>
      <c r="F117" s="373" t="n"/>
      <c r="G117" s="375" t="n"/>
      <c r="H117" s="375" t="n"/>
      <c r="I117" s="376">
        <f>IF(G117="",0,MAX(G117-H117,0))</f>
        <v/>
      </c>
      <c r="J117" s="380" t="n"/>
      <c r="K117" s="162">
        <f>IF(AND(A117="",D117="",G117="",H117=""),"",IF(AND(OR(A117&lt;&gt;"",D117&lt;&gt;""),G117=""),"⏳ PENDENTE (falta qtd. apresentada)",IF(AND(G117&lt;&gt;"",OR(A117="",D117="")),"❌ FALTA Nº RECEBIMENTO/ESCOLA",IF(B117="Nº INVÁLIDO","❌ Nº DE RECEBIMENTO INVÁLIDO",IF(E117="CÓDIGO INVÁLIDO","❌ CÓDIGO DE ESCOLA INVÁLIDO",IF(H117&gt;G117,"❌ REJEITADO MAIOR QUE APRESENTADO",IF(AND(A117&lt;&gt;"",SUMIF($A$60:$A$559,A117,$G$60:$G$559)&gt;INDEX($G$7:$G$56,MATCH(A117,$A$7:$A$56,0))+0.01),"❌ DISTRIBUÍDO MAIS QUE O ACEITO NESSE RECEBIMENTO","OK")))))))</f>
        <v/>
      </c>
      <c r="L117" s="389">
        <f>IF(A117="","",ROW()-59)</f>
        <v/>
      </c>
    </row>
    <row r="118" hidden="1" outlineLevel="1" s="163">
      <c r="A118" s="380" t="n"/>
      <c r="B118" s="372">
        <f>IF(A118="","",IFERROR(INDEX($C$7:$C$56,MATCH(A118,$A$7:$A$56,0)),"Nº INVÁLIDO"))</f>
        <v/>
      </c>
      <c r="C118" s="372">
        <f>IF(A118="","",IFERROR(INDEX($D$7:$D$56,MATCH(A118,$A$7:$A$56,0)),"Nº INVÁLIDO"))</f>
        <v/>
      </c>
      <c r="D118" s="380" t="n"/>
      <c r="E118" s="381">
        <f>IF(D118="","",IFERROR(INDEX('Entrada de Dados'!$B$6:$B$196,MATCH(D118,'Entrada de Dados'!$A$6:$A$196,0)),"CÓDIGO INVÁLIDO"))</f>
        <v/>
      </c>
      <c r="F118" s="373" t="n"/>
      <c r="G118" s="375" t="n"/>
      <c r="H118" s="375" t="n"/>
      <c r="I118" s="376">
        <f>IF(G118="",0,MAX(G118-H118,0))</f>
        <v/>
      </c>
      <c r="J118" s="380" t="n"/>
      <c r="K118" s="162">
        <f>IF(AND(A118="",D118="",G118="",H118=""),"",IF(AND(OR(A118&lt;&gt;"",D118&lt;&gt;""),G118=""),"⏳ PENDENTE (falta qtd. apresentada)",IF(AND(G118&lt;&gt;"",OR(A118="",D118="")),"❌ FALTA Nº RECEBIMENTO/ESCOLA",IF(B118="Nº INVÁLIDO","❌ Nº DE RECEBIMENTO INVÁLIDO",IF(E118="CÓDIGO INVÁLIDO","❌ CÓDIGO DE ESCOLA INVÁLIDO",IF(H118&gt;G118,"❌ REJEITADO MAIOR QUE APRESENTADO",IF(AND(A118&lt;&gt;"",SUMIF($A$60:$A$559,A118,$G$60:$G$559)&gt;INDEX($G$7:$G$56,MATCH(A118,$A$7:$A$56,0))+0.01),"❌ DISTRIBUÍDO MAIS QUE O ACEITO NESSE RECEBIMENTO","OK")))))))</f>
        <v/>
      </c>
      <c r="L118" s="389">
        <f>IF(A118="","",ROW()-59)</f>
        <v/>
      </c>
    </row>
    <row r="119" hidden="1" outlineLevel="1" s="163">
      <c r="A119" s="380" t="n"/>
      <c r="B119" s="372">
        <f>IF(A119="","",IFERROR(INDEX($C$7:$C$56,MATCH(A119,$A$7:$A$56,0)),"Nº INVÁLIDO"))</f>
        <v/>
      </c>
      <c r="C119" s="372">
        <f>IF(A119="","",IFERROR(INDEX($D$7:$D$56,MATCH(A119,$A$7:$A$56,0)),"Nº INVÁLIDO"))</f>
        <v/>
      </c>
      <c r="D119" s="380" t="n"/>
      <c r="E119" s="381">
        <f>IF(D119="","",IFERROR(INDEX('Entrada de Dados'!$B$6:$B$196,MATCH(D119,'Entrada de Dados'!$A$6:$A$196,0)),"CÓDIGO INVÁLIDO"))</f>
        <v/>
      </c>
      <c r="F119" s="373" t="n"/>
      <c r="G119" s="375" t="n"/>
      <c r="H119" s="375" t="n"/>
      <c r="I119" s="376">
        <f>IF(G119="",0,MAX(G119-H119,0))</f>
        <v/>
      </c>
      <c r="J119" s="380" t="n"/>
      <c r="K119" s="162">
        <f>IF(AND(A119="",D119="",G119="",H119=""),"",IF(AND(OR(A119&lt;&gt;"",D119&lt;&gt;""),G119=""),"⏳ PENDENTE (falta qtd. apresentada)",IF(AND(G119&lt;&gt;"",OR(A119="",D119="")),"❌ FALTA Nº RECEBIMENTO/ESCOLA",IF(B119="Nº INVÁLIDO","❌ Nº DE RECEBIMENTO INVÁLIDO",IF(E119="CÓDIGO INVÁLIDO","❌ CÓDIGO DE ESCOLA INVÁLIDO",IF(H119&gt;G119,"❌ REJEITADO MAIOR QUE APRESENTADO",IF(AND(A119&lt;&gt;"",SUMIF($A$60:$A$559,A119,$G$60:$G$559)&gt;INDEX($G$7:$G$56,MATCH(A119,$A$7:$A$56,0))+0.01),"❌ DISTRIBUÍDO MAIS QUE O ACEITO NESSE RECEBIMENTO","OK")))))))</f>
        <v/>
      </c>
      <c r="L119" s="389">
        <f>IF(A119="","",ROW()-59)</f>
        <v/>
      </c>
    </row>
    <row r="120" hidden="1" outlineLevel="1" s="163">
      <c r="A120" s="380" t="n"/>
      <c r="B120" s="372">
        <f>IF(A120="","",IFERROR(INDEX($C$7:$C$56,MATCH(A120,$A$7:$A$56,0)),"Nº INVÁLIDO"))</f>
        <v/>
      </c>
      <c r="C120" s="372">
        <f>IF(A120="","",IFERROR(INDEX($D$7:$D$56,MATCH(A120,$A$7:$A$56,0)),"Nº INVÁLIDO"))</f>
        <v/>
      </c>
      <c r="D120" s="380" t="n"/>
      <c r="E120" s="381">
        <f>IF(D120="","",IFERROR(INDEX('Entrada de Dados'!$B$6:$B$196,MATCH(D120,'Entrada de Dados'!$A$6:$A$196,0)),"CÓDIGO INVÁLIDO"))</f>
        <v/>
      </c>
      <c r="F120" s="373" t="n"/>
      <c r="G120" s="375" t="n"/>
      <c r="H120" s="375" t="n"/>
      <c r="I120" s="376">
        <f>IF(G120="",0,MAX(G120-H120,0))</f>
        <v/>
      </c>
      <c r="J120" s="380" t="n"/>
      <c r="K120" s="162">
        <f>IF(AND(A120="",D120="",G120="",H120=""),"",IF(AND(OR(A120&lt;&gt;"",D120&lt;&gt;""),G120=""),"⏳ PENDENTE (falta qtd. apresentada)",IF(AND(G120&lt;&gt;"",OR(A120="",D120="")),"❌ FALTA Nº RECEBIMENTO/ESCOLA",IF(B120="Nº INVÁLIDO","❌ Nº DE RECEBIMENTO INVÁLIDO",IF(E120="CÓDIGO INVÁLIDO","❌ CÓDIGO DE ESCOLA INVÁLIDO",IF(H120&gt;G120,"❌ REJEITADO MAIOR QUE APRESENTADO",IF(AND(A120&lt;&gt;"",SUMIF($A$60:$A$559,A120,$G$60:$G$559)&gt;INDEX($G$7:$G$56,MATCH(A120,$A$7:$A$56,0))+0.01),"❌ DISTRIBUÍDO MAIS QUE O ACEITO NESSE RECEBIMENTO","OK")))))))</f>
        <v/>
      </c>
      <c r="L120" s="389">
        <f>IF(A120="","",ROW()-59)</f>
        <v/>
      </c>
    </row>
    <row r="121" hidden="1" outlineLevel="1" s="163">
      <c r="A121" s="380" t="n"/>
      <c r="B121" s="372">
        <f>IF(A121="","",IFERROR(INDEX($C$7:$C$56,MATCH(A121,$A$7:$A$56,0)),"Nº INVÁLIDO"))</f>
        <v/>
      </c>
      <c r="C121" s="372">
        <f>IF(A121="","",IFERROR(INDEX($D$7:$D$56,MATCH(A121,$A$7:$A$56,0)),"Nº INVÁLIDO"))</f>
        <v/>
      </c>
      <c r="D121" s="380" t="n"/>
      <c r="E121" s="381">
        <f>IF(D121="","",IFERROR(INDEX('Entrada de Dados'!$B$6:$B$196,MATCH(D121,'Entrada de Dados'!$A$6:$A$196,0)),"CÓDIGO INVÁLIDO"))</f>
        <v/>
      </c>
      <c r="F121" s="373" t="n"/>
      <c r="G121" s="375" t="n"/>
      <c r="H121" s="375" t="n"/>
      <c r="I121" s="376">
        <f>IF(G121="",0,MAX(G121-H121,0))</f>
        <v/>
      </c>
      <c r="J121" s="380" t="n"/>
      <c r="K121" s="162">
        <f>IF(AND(A121="",D121="",G121="",H121=""),"",IF(AND(OR(A121&lt;&gt;"",D121&lt;&gt;""),G121=""),"⏳ PENDENTE (falta qtd. apresentada)",IF(AND(G121&lt;&gt;"",OR(A121="",D121="")),"❌ FALTA Nº RECEBIMENTO/ESCOLA",IF(B121="Nº INVÁLIDO","❌ Nº DE RECEBIMENTO INVÁLIDO",IF(E121="CÓDIGO INVÁLIDO","❌ CÓDIGO DE ESCOLA INVÁLIDO",IF(H121&gt;G121,"❌ REJEITADO MAIOR QUE APRESENTADO",IF(AND(A121&lt;&gt;"",SUMIF($A$60:$A$559,A121,$G$60:$G$559)&gt;INDEX($G$7:$G$56,MATCH(A121,$A$7:$A$56,0))+0.01),"❌ DISTRIBUÍDO MAIS QUE O ACEITO NESSE RECEBIMENTO","OK")))))))</f>
        <v/>
      </c>
      <c r="L121" s="389">
        <f>IF(A121="","",ROW()-59)</f>
        <v/>
      </c>
    </row>
    <row r="122" hidden="1" outlineLevel="1" s="163">
      <c r="A122" s="380" t="n"/>
      <c r="B122" s="372">
        <f>IF(A122="","",IFERROR(INDEX($C$7:$C$56,MATCH(A122,$A$7:$A$56,0)),"Nº INVÁLIDO"))</f>
        <v/>
      </c>
      <c r="C122" s="372">
        <f>IF(A122="","",IFERROR(INDEX($D$7:$D$56,MATCH(A122,$A$7:$A$56,0)),"Nº INVÁLIDO"))</f>
        <v/>
      </c>
      <c r="D122" s="380" t="n"/>
      <c r="E122" s="381">
        <f>IF(D122="","",IFERROR(INDEX('Entrada de Dados'!$B$6:$B$196,MATCH(D122,'Entrada de Dados'!$A$6:$A$196,0)),"CÓDIGO INVÁLIDO"))</f>
        <v/>
      </c>
      <c r="F122" s="373" t="n"/>
      <c r="G122" s="375" t="n"/>
      <c r="H122" s="375" t="n"/>
      <c r="I122" s="376">
        <f>IF(G122="",0,MAX(G122-H122,0))</f>
        <v/>
      </c>
      <c r="J122" s="380" t="n"/>
      <c r="K122" s="162">
        <f>IF(AND(A122="",D122="",G122="",H122=""),"",IF(AND(OR(A122&lt;&gt;"",D122&lt;&gt;""),G122=""),"⏳ PENDENTE (falta qtd. apresentada)",IF(AND(G122&lt;&gt;"",OR(A122="",D122="")),"❌ FALTA Nº RECEBIMENTO/ESCOLA",IF(B122="Nº INVÁLIDO","❌ Nº DE RECEBIMENTO INVÁLIDO",IF(E122="CÓDIGO INVÁLIDO","❌ CÓDIGO DE ESCOLA INVÁLIDO",IF(H122&gt;G122,"❌ REJEITADO MAIOR QUE APRESENTADO",IF(AND(A122&lt;&gt;"",SUMIF($A$60:$A$559,A122,$G$60:$G$559)&gt;INDEX($G$7:$G$56,MATCH(A122,$A$7:$A$56,0))+0.01),"❌ DISTRIBUÍDO MAIS QUE O ACEITO NESSE RECEBIMENTO","OK")))))))</f>
        <v/>
      </c>
      <c r="L122" s="389">
        <f>IF(A122="","",ROW()-59)</f>
        <v/>
      </c>
    </row>
    <row r="123" hidden="1" outlineLevel="1" s="163">
      <c r="A123" s="380" t="n"/>
      <c r="B123" s="372">
        <f>IF(A123="","",IFERROR(INDEX($C$7:$C$56,MATCH(A123,$A$7:$A$56,0)),"Nº INVÁLIDO"))</f>
        <v/>
      </c>
      <c r="C123" s="372">
        <f>IF(A123="","",IFERROR(INDEX($D$7:$D$56,MATCH(A123,$A$7:$A$56,0)),"Nº INVÁLIDO"))</f>
        <v/>
      </c>
      <c r="D123" s="380" t="n"/>
      <c r="E123" s="381">
        <f>IF(D123="","",IFERROR(INDEX('Entrada de Dados'!$B$6:$B$196,MATCH(D123,'Entrada de Dados'!$A$6:$A$196,0)),"CÓDIGO INVÁLIDO"))</f>
        <v/>
      </c>
      <c r="F123" s="373" t="n"/>
      <c r="G123" s="375" t="n"/>
      <c r="H123" s="375" t="n"/>
      <c r="I123" s="376">
        <f>IF(G123="",0,MAX(G123-H123,0))</f>
        <v/>
      </c>
      <c r="J123" s="380" t="n"/>
      <c r="K123" s="162">
        <f>IF(AND(A123="",D123="",G123="",H123=""),"",IF(AND(OR(A123&lt;&gt;"",D123&lt;&gt;""),G123=""),"⏳ PENDENTE (falta qtd. apresentada)",IF(AND(G123&lt;&gt;"",OR(A123="",D123="")),"❌ FALTA Nº RECEBIMENTO/ESCOLA",IF(B123="Nº INVÁLIDO","❌ Nº DE RECEBIMENTO INVÁLIDO",IF(E123="CÓDIGO INVÁLIDO","❌ CÓDIGO DE ESCOLA INVÁLIDO",IF(H123&gt;G123,"❌ REJEITADO MAIOR QUE APRESENTADO",IF(AND(A123&lt;&gt;"",SUMIF($A$60:$A$559,A123,$G$60:$G$559)&gt;INDEX($G$7:$G$56,MATCH(A123,$A$7:$A$56,0))+0.01),"❌ DISTRIBUÍDO MAIS QUE O ACEITO NESSE RECEBIMENTO","OK")))))))</f>
        <v/>
      </c>
      <c r="L123" s="389">
        <f>IF(A123="","",ROW()-59)</f>
        <v/>
      </c>
    </row>
    <row r="124" hidden="1" outlineLevel="1" s="163">
      <c r="A124" s="380" t="n"/>
      <c r="B124" s="372">
        <f>IF(A124="","",IFERROR(INDEX($C$7:$C$56,MATCH(A124,$A$7:$A$56,0)),"Nº INVÁLIDO"))</f>
        <v/>
      </c>
      <c r="C124" s="372">
        <f>IF(A124="","",IFERROR(INDEX($D$7:$D$56,MATCH(A124,$A$7:$A$56,0)),"Nº INVÁLIDO"))</f>
        <v/>
      </c>
      <c r="D124" s="380" t="n"/>
      <c r="E124" s="381">
        <f>IF(D124="","",IFERROR(INDEX('Entrada de Dados'!$B$6:$B$196,MATCH(D124,'Entrada de Dados'!$A$6:$A$196,0)),"CÓDIGO INVÁLIDO"))</f>
        <v/>
      </c>
      <c r="F124" s="373" t="n"/>
      <c r="G124" s="375" t="n"/>
      <c r="H124" s="375" t="n"/>
      <c r="I124" s="376">
        <f>IF(G124="",0,MAX(G124-H124,0))</f>
        <v/>
      </c>
      <c r="J124" s="380" t="n"/>
      <c r="K124" s="162">
        <f>IF(AND(A124="",D124="",G124="",H124=""),"",IF(AND(OR(A124&lt;&gt;"",D124&lt;&gt;""),G124=""),"⏳ PENDENTE (falta qtd. apresentada)",IF(AND(G124&lt;&gt;"",OR(A124="",D124="")),"❌ FALTA Nº RECEBIMENTO/ESCOLA",IF(B124="Nº INVÁLIDO","❌ Nº DE RECEBIMENTO INVÁLIDO",IF(E124="CÓDIGO INVÁLIDO","❌ CÓDIGO DE ESCOLA INVÁLIDO",IF(H124&gt;G124,"❌ REJEITADO MAIOR QUE APRESENTADO",IF(AND(A124&lt;&gt;"",SUMIF($A$60:$A$559,A124,$G$60:$G$559)&gt;INDEX($G$7:$G$56,MATCH(A124,$A$7:$A$56,0))+0.01),"❌ DISTRIBUÍDO MAIS QUE O ACEITO NESSE RECEBIMENTO","OK")))))))</f>
        <v/>
      </c>
      <c r="L124" s="389">
        <f>IF(A124="","",ROW()-59)</f>
        <v/>
      </c>
    </row>
    <row r="125" hidden="1" outlineLevel="1" s="163">
      <c r="A125" s="380" t="n"/>
      <c r="B125" s="372">
        <f>IF(A125="","",IFERROR(INDEX($C$7:$C$56,MATCH(A125,$A$7:$A$56,0)),"Nº INVÁLIDO"))</f>
        <v/>
      </c>
      <c r="C125" s="372">
        <f>IF(A125="","",IFERROR(INDEX($D$7:$D$56,MATCH(A125,$A$7:$A$56,0)),"Nº INVÁLIDO"))</f>
        <v/>
      </c>
      <c r="D125" s="380" t="n"/>
      <c r="E125" s="381">
        <f>IF(D125="","",IFERROR(INDEX('Entrada de Dados'!$B$6:$B$196,MATCH(D125,'Entrada de Dados'!$A$6:$A$196,0)),"CÓDIGO INVÁLIDO"))</f>
        <v/>
      </c>
      <c r="F125" s="373" t="n"/>
      <c r="G125" s="375" t="n"/>
      <c r="H125" s="375" t="n"/>
      <c r="I125" s="376">
        <f>IF(G125="",0,MAX(G125-H125,0))</f>
        <v/>
      </c>
      <c r="J125" s="380" t="n"/>
      <c r="K125" s="162">
        <f>IF(AND(A125="",D125="",G125="",H125=""),"",IF(AND(OR(A125&lt;&gt;"",D125&lt;&gt;""),G125=""),"⏳ PENDENTE (falta qtd. apresentada)",IF(AND(G125&lt;&gt;"",OR(A125="",D125="")),"❌ FALTA Nº RECEBIMENTO/ESCOLA",IF(B125="Nº INVÁLIDO","❌ Nº DE RECEBIMENTO INVÁLIDO",IF(E125="CÓDIGO INVÁLIDO","❌ CÓDIGO DE ESCOLA INVÁLIDO",IF(H125&gt;G125,"❌ REJEITADO MAIOR QUE APRESENTADO",IF(AND(A125&lt;&gt;"",SUMIF($A$60:$A$559,A125,$G$60:$G$559)&gt;INDEX($G$7:$G$56,MATCH(A125,$A$7:$A$56,0))+0.01),"❌ DISTRIBUÍDO MAIS QUE O ACEITO NESSE RECEBIMENTO","OK")))))))</f>
        <v/>
      </c>
      <c r="L125" s="389">
        <f>IF(A125="","",ROW()-59)</f>
        <v/>
      </c>
    </row>
    <row r="126" hidden="1" outlineLevel="1" s="163">
      <c r="A126" s="380" t="n"/>
      <c r="B126" s="372">
        <f>IF(A126="","",IFERROR(INDEX($C$7:$C$56,MATCH(A126,$A$7:$A$56,0)),"Nº INVÁLIDO"))</f>
        <v/>
      </c>
      <c r="C126" s="372">
        <f>IF(A126="","",IFERROR(INDEX($D$7:$D$56,MATCH(A126,$A$7:$A$56,0)),"Nº INVÁLIDO"))</f>
        <v/>
      </c>
      <c r="D126" s="380" t="n"/>
      <c r="E126" s="381">
        <f>IF(D126="","",IFERROR(INDEX('Entrada de Dados'!$B$6:$B$196,MATCH(D126,'Entrada de Dados'!$A$6:$A$196,0)),"CÓDIGO INVÁLIDO"))</f>
        <v/>
      </c>
      <c r="F126" s="373" t="n"/>
      <c r="G126" s="375" t="n"/>
      <c r="H126" s="375" t="n"/>
      <c r="I126" s="376">
        <f>IF(G126="",0,MAX(G126-H126,0))</f>
        <v/>
      </c>
      <c r="J126" s="380" t="n"/>
      <c r="K126" s="162">
        <f>IF(AND(A126="",D126="",G126="",H126=""),"",IF(AND(OR(A126&lt;&gt;"",D126&lt;&gt;""),G126=""),"⏳ PENDENTE (falta qtd. apresentada)",IF(AND(G126&lt;&gt;"",OR(A126="",D126="")),"❌ FALTA Nº RECEBIMENTO/ESCOLA",IF(B126="Nº INVÁLIDO","❌ Nº DE RECEBIMENTO INVÁLIDO",IF(E126="CÓDIGO INVÁLIDO","❌ CÓDIGO DE ESCOLA INVÁLIDO",IF(H126&gt;G126,"❌ REJEITADO MAIOR QUE APRESENTADO",IF(AND(A126&lt;&gt;"",SUMIF($A$60:$A$559,A126,$G$60:$G$559)&gt;INDEX($G$7:$G$56,MATCH(A126,$A$7:$A$56,0))+0.01),"❌ DISTRIBUÍDO MAIS QUE O ACEITO NESSE RECEBIMENTO","OK")))))))</f>
        <v/>
      </c>
      <c r="L126" s="389">
        <f>IF(A126="","",ROW()-59)</f>
        <v/>
      </c>
    </row>
    <row r="127" hidden="1" outlineLevel="1" s="163">
      <c r="A127" s="380" t="n"/>
      <c r="B127" s="372">
        <f>IF(A127="","",IFERROR(INDEX($C$7:$C$56,MATCH(A127,$A$7:$A$56,0)),"Nº INVÁLIDO"))</f>
        <v/>
      </c>
      <c r="C127" s="372">
        <f>IF(A127="","",IFERROR(INDEX($D$7:$D$56,MATCH(A127,$A$7:$A$56,0)),"Nº INVÁLIDO"))</f>
        <v/>
      </c>
      <c r="D127" s="380" t="n"/>
      <c r="E127" s="381">
        <f>IF(D127="","",IFERROR(INDEX('Entrada de Dados'!$B$6:$B$196,MATCH(D127,'Entrada de Dados'!$A$6:$A$196,0)),"CÓDIGO INVÁLIDO"))</f>
        <v/>
      </c>
      <c r="F127" s="373" t="n"/>
      <c r="G127" s="375" t="n"/>
      <c r="H127" s="375" t="n"/>
      <c r="I127" s="376">
        <f>IF(G127="",0,MAX(G127-H127,0))</f>
        <v/>
      </c>
      <c r="J127" s="380" t="n"/>
      <c r="K127" s="162">
        <f>IF(AND(A127="",D127="",G127="",H127=""),"",IF(AND(OR(A127&lt;&gt;"",D127&lt;&gt;""),G127=""),"⏳ PENDENTE (falta qtd. apresentada)",IF(AND(G127&lt;&gt;"",OR(A127="",D127="")),"❌ FALTA Nº RECEBIMENTO/ESCOLA",IF(B127="Nº INVÁLIDO","❌ Nº DE RECEBIMENTO INVÁLIDO",IF(E127="CÓDIGO INVÁLIDO","❌ CÓDIGO DE ESCOLA INVÁLIDO",IF(H127&gt;G127,"❌ REJEITADO MAIOR QUE APRESENTADO",IF(AND(A127&lt;&gt;"",SUMIF($A$60:$A$559,A127,$G$60:$G$559)&gt;INDEX($G$7:$G$56,MATCH(A127,$A$7:$A$56,0))+0.01),"❌ DISTRIBUÍDO MAIS QUE O ACEITO NESSE RECEBIMENTO","OK")))))))</f>
        <v/>
      </c>
      <c r="L127" s="389">
        <f>IF(A127="","",ROW()-59)</f>
        <v/>
      </c>
    </row>
    <row r="128" hidden="1" outlineLevel="1" s="163">
      <c r="A128" s="380" t="n"/>
      <c r="B128" s="372">
        <f>IF(A128="","",IFERROR(INDEX($C$7:$C$56,MATCH(A128,$A$7:$A$56,0)),"Nº INVÁLIDO"))</f>
        <v/>
      </c>
      <c r="C128" s="372">
        <f>IF(A128="","",IFERROR(INDEX($D$7:$D$56,MATCH(A128,$A$7:$A$56,0)),"Nº INVÁLIDO"))</f>
        <v/>
      </c>
      <c r="D128" s="380" t="n"/>
      <c r="E128" s="381">
        <f>IF(D128="","",IFERROR(INDEX('Entrada de Dados'!$B$6:$B$196,MATCH(D128,'Entrada de Dados'!$A$6:$A$196,0)),"CÓDIGO INVÁLIDO"))</f>
        <v/>
      </c>
      <c r="F128" s="373" t="n"/>
      <c r="G128" s="375" t="n"/>
      <c r="H128" s="375" t="n"/>
      <c r="I128" s="376">
        <f>IF(G128="",0,MAX(G128-H128,0))</f>
        <v/>
      </c>
      <c r="J128" s="380" t="n"/>
      <c r="K128" s="162">
        <f>IF(AND(A128="",D128="",G128="",H128=""),"",IF(AND(OR(A128&lt;&gt;"",D128&lt;&gt;""),G128=""),"⏳ PENDENTE (falta qtd. apresentada)",IF(AND(G128&lt;&gt;"",OR(A128="",D128="")),"❌ FALTA Nº RECEBIMENTO/ESCOLA",IF(B128="Nº INVÁLIDO","❌ Nº DE RECEBIMENTO INVÁLIDO",IF(E128="CÓDIGO INVÁLIDO","❌ CÓDIGO DE ESCOLA INVÁLIDO",IF(H128&gt;G128,"❌ REJEITADO MAIOR QUE APRESENTADO",IF(AND(A128&lt;&gt;"",SUMIF($A$60:$A$559,A128,$G$60:$G$559)&gt;INDEX($G$7:$G$56,MATCH(A128,$A$7:$A$56,0))+0.01),"❌ DISTRIBUÍDO MAIS QUE O ACEITO NESSE RECEBIMENTO","OK")))))))</f>
        <v/>
      </c>
      <c r="L128" s="389">
        <f>IF(A128="","",ROW()-59)</f>
        <v/>
      </c>
    </row>
    <row r="129" hidden="1" outlineLevel="1" s="163">
      <c r="A129" s="380" t="n"/>
      <c r="B129" s="372">
        <f>IF(A129="","",IFERROR(INDEX($C$7:$C$56,MATCH(A129,$A$7:$A$56,0)),"Nº INVÁLIDO"))</f>
        <v/>
      </c>
      <c r="C129" s="372">
        <f>IF(A129="","",IFERROR(INDEX($D$7:$D$56,MATCH(A129,$A$7:$A$56,0)),"Nº INVÁLIDO"))</f>
        <v/>
      </c>
      <c r="D129" s="380" t="n"/>
      <c r="E129" s="381">
        <f>IF(D129="","",IFERROR(INDEX('Entrada de Dados'!$B$6:$B$196,MATCH(D129,'Entrada de Dados'!$A$6:$A$196,0)),"CÓDIGO INVÁLIDO"))</f>
        <v/>
      </c>
      <c r="F129" s="373" t="n"/>
      <c r="G129" s="375" t="n"/>
      <c r="H129" s="375" t="n"/>
      <c r="I129" s="376">
        <f>IF(G129="",0,MAX(G129-H129,0))</f>
        <v/>
      </c>
      <c r="J129" s="380" t="n"/>
      <c r="K129" s="162">
        <f>IF(AND(A129="",D129="",G129="",H129=""),"",IF(AND(OR(A129&lt;&gt;"",D129&lt;&gt;""),G129=""),"⏳ PENDENTE (falta qtd. apresentada)",IF(AND(G129&lt;&gt;"",OR(A129="",D129="")),"❌ FALTA Nº RECEBIMENTO/ESCOLA",IF(B129="Nº INVÁLIDO","❌ Nº DE RECEBIMENTO INVÁLIDO",IF(E129="CÓDIGO INVÁLIDO","❌ CÓDIGO DE ESCOLA INVÁLIDO",IF(H129&gt;G129,"❌ REJEITADO MAIOR QUE APRESENTADO",IF(AND(A129&lt;&gt;"",SUMIF($A$60:$A$559,A129,$G$60:$G$559)&gt;INDEX($G$7:$G$56,MATCH(A129,$A$7:$A$56,0))+0.01),"❌ DISTRIBUÍDO MAIS QUE O ACEITO NESSE RECEBIMENTO","OK")))))))</f>
        <v/>
      </c>
      <c r="L129" s="389">
        <f>IF(A129="","",ROW()-59)</f>
        <v/>
      </c>
    </row>
    <row r="130" hidden="1" outlineLevel="1" s="163">
      <c r="A130" s="380" t="n"/>
      <c r="B130" s="372">
        <f>IF(A130="","",IFERROR(INDEX($C$7:$C$56,MATCH(A130,$A$7:$A$56,0)),"Nº INVÁLIDO"))</f>
        <v/>
      </c>
      <c r="C130" s="372">
        <f>IF(A130="","",IFERROR(INDEX($D$7:$D$56,MATCH(A130,$A$7:$A$56,0)),"Nº INVÁLIDO"))</f>
        <v/>
      </c>
      <c r="D130" s="380" t="n"/>
      <c r="E130" s="381">
        <f>IF(D130="","",IFERROR(INDEX('Entrada de Dados'!$B$6:$B$196,MATCH(D130,'Entrada de Dados'!$A$6:$A$196,0)),"CÓDIGO INVÁLIDO"))</f>
        <v/>
      </c>
      <c r="F130" s="373" t="n"/>
      <c r="G130" s="375" t="n"/>
      <c r="H130" s="375" t="n"/>
      <c r="I130" s="376">
        <f>IF(G130="",0,MAX(G130-H130,0))</f>
        <v/>
      </c>
      <c r="J130" s="380" t="n"/>
      <c r="K130" s="162">
        <f>IF(AND(A130="",D130="",G130="",H130=""),"",IF(AND(OR(A130&lt;&gt;"",D130&lt;&gt;""),G130=""),"⏳ PENDENTE (falta qtd. apresentada)",IF(AND(G130&lt;&gt;"",OR(A130="",D130="")),"❌ FALTA Nº RECEBIMENTO/ESCOLA",IF(B130="Nº INVÁLIDO","❌ Nº DE RECEBIMENTO INVÁLIDO",IF(E130="CÓDIGO INVÁLIDO","❌ CÓDIGO DE ESCOLA INVÁLIDO",IF(H130&gt;G130,"❌ REJEITADO MAIOR QUE APRESENTADO",IF(AND(A130&lt;&gt;"",SUMIF($A$60:$A$559,A130,$G$60:$G$559)&gt;INDEX($G$7:$G$56,MATCH(A130,$A$7:$A$56,0))+0.01),"❌ DISTRIBUÍDO MAIS QUE O ACEITO NESSE RECEBIMENTO","OK")))))))</f>
        <v/>
      </c>
      <c r="L130" s="389">
        <f>IF(A130="","",ROW()-59)</f>
        <v/>
      </c>
    </row>
    <row r="131" hidden="1" outlineLevel="1" s="163">
      <c r="A131" s="380" t="n"/>
      <c r="B131" s="372">
        <f>IF(A131="","",IFERROR(INDEX($C$7:$C$56,MATCH(A131,$A$7:$A$56,0)),"Nº INVÁLIDO"))</f>
        <v/>
      </c>
      <c r="C131" s="372">
        <f>IF(A131="","",IFERROR(INDEX($D$7:$D$56,MATCH(A131,$A$7:$A$56,0)),"Nº INVÁLIDO"))</f>
        <v/>
      </c>
      <c r="D131" s="380" t="n"/>
      <c r="E131" s="381">
        <f>IF(D131="","",IFERROR(INDEX('Entrada de Dados'!$B$6:$B$196,MATCH(D131,'Entrada de Dados'!$A$6:$A$196,0)),"CÓDIGO INVÁLIDO"))</f>
        <v/>
      </c>
      <c r="F131" s="373" t="n"/>
      <c r="G131" s="375" t="n"/>
      <c r="H131" s="375" t="n"/>
      <c r="I131" s="376">
        <f>IF(G131="",0,MAX(G131-H131,0))</f>
        <v/>
      </c>
      <c r="J131" s="380" t="n"/>
      <c r="K131" s="162">
        <f>IF(AND(A131="",D131="",G131="",H131=""),"",IF(AND(OR(A131&lt;&gt;"",D131&lt;&gt;""),G131=""),"⏳ PENDENTE (falta qtd. apresentada)",IF(AND(G131&lt;&gt;"",OR(A131="",D131="")),"❌ FALTA Nº RECEBIMENTO/ESCOLA",IF(B131="Nº INVÁLIDO","❌ Nº DE RECEBIMENTO INVÁLIDO",IF(E131="CÓDIGO INVÁLIDO","❌ CÓDIGO DE ESCOLA INVÁLIDO",IF(H131&gt;G131,"❌ REJEITADO MAIOR QUE APRESENTADO",IF(AND(A131&lt;&gt;"",SUMIF($A$60:$A$559,A131,$G$60:$G$559)&gt;INDEX($G$7:$G$56,MATCH(A131,$A$7:$A$56,0))+0.01),"❌ DISTRIBUÍDO MAIS QUE O ACEITO NESSE RECEBIMENTO","OK")))))))</f>
        <v/>
      </c>
      <c r="L131" s="389">
        <f>IF(A131="","",ROW()-59)</f>
        <v/>
      </c>
    </row>
    <row r="132" hidden="1" outlineLevel="1" s="163">
      <c r="A132" s="380" t="n"/>
      <c r="B132" s="372">
        <f>IF(A132="","",IFERROR(INDEX($C$7:$C$56,MATCH(A132,$A$7:$A$56,0)),"Nº INVÁLIDO"))</f>
        <v/>
      </c>
      <c r="C132" s="372">
        <f>IF(A132="","",IFERROR(INDEX($D$7:$D$56,MATCH(A132,$A$7:$A$56,0)),"Nº INVÁLIDO"))</f>
        <v/>
      </c>
      <c r="D132" s="380" t="n"/>
      <c r="E132" s="381">
        <f>IF(D132="","",IFERROR(INDEX('Entrada de Dados'!$B$6:$B$196,MATCH(D132,'Entrada de Dados'!$A$6:$A$196,0)),"CÓDIGO INVÁLIDO"))</f>
        <v/>
      </c>
      <c r="F132" s="373" t="n"/>
      <c r="G132" s="375" t="n"/>
      <c r="H132" s="375" t="n"/>
      <c r="I132" s="376">
        <f>IF(G132="",0,MAX(G132-H132,0))</f>
        <v/>
      </c>
      <c r="J132" s="380" t="n"/>
      <c r="K132" s="162">
        <f>IF(AND(A132="",D132="",G132="",H132=""),"",IF(AND(OR(A132&lt;&gt;"",D132&lt;&gt;""),G132=""),"⏳ PENDENTE (falta qtd. apresentada)",IF(AND(G132&lt;&gt;"",OR(A132="",D132="")),"❌ FALTA Nº RECEBIMENTO/ESCOLA",IF(B132="Nº INVÁLIDO","❌ Nº DE RECEBIMENTO INVÁLIDO",IF(E132="CÓDIGO INVÁLIDO","❌ CÓDIGO DE ESCOLA INVÁLIDO",IF(H132&gt;G132,"❌ REJEITADO MAIOR QUE APRESENTADO",IF(AND(A132&lt;&gt;"",SUMIF($A$60:$A$559,A132,$G$60:$G$559)&gt;INDEX($G$7:$G$56,MATCH(A132,$A$7:$A$56,0))+0.01),"❌ DISTRIBUÍDO MAIS QUE O ACEITO NESSE RECEBIMENTO","OK")))))))</f>
        <v/>
      </c>
      <c r="L132" s="389">
        <f>IF(A132="","",ROW()-59)</f>
        <v/>
      </c>
    </row>
    <row r="133" hidden="1" outlineLevel="1" s="163">
      <c r="A133" s="380" t="n"/>
      <c r="B133" s="372">
        <f>IF(A133="","",IFERROR(INDEX($C$7:$C$56,MATCH(A133,$A$7:$A$56,0)),"Nº INVÁLIDO"))</f>
        <v/>
      </c>
      <c r="C133" s="372">
        <f>IF(A133="","",IFERROR(INDEX($D$7:$D$56,MATCH(A133,$A$7:$A$56,0)),"Nº INVÁLIDO"))</f>
        <v/>
      </c>
      <c r="D133" s="380" t="n"/>
      <c r="E133" s="381">
        <f>IF(D133="","",IFERROR(INDEX('Entrada de Dados'!$B$6:$B$196,MATCH(D133,'Entrada de Dados'!$A$6:$A$196,0)),"CÓDIGO INVÁLIDO"))</f>
        <v/>
      </c>
      <c r="F133" s="373" t="n"/>
      <c r="G133" s="375" t="n"/>
      <c r="H133" s="375" t="n"/>
      <c r="I133" s="376">
        <f>IF(G133="",0,MAX(G133-H133,0))</f>
        <v/>
      </c>
      <c r="J133" s="380" t="n"/>
      <c r="K133" s="162">
        <f>IF(AND(A133="",D133="",G133="",H133=""),"",IF(AND(OR(A133&lt;&gt;"",D133&lt;&gt;""),G133=""),"⏳ PENDENTE (falta qtd. apresentada)",IF(AND(G133&lt;&gt;"",OR(A133="",D133="")),"❌ FALTA Nº RECEBIMENTO/ESCOLA",IF(B133="Nº INVÁLIDO","❌ Nº DE RECEBIMENTO INVÁLIDO",IF(E133="CÓDIGO INVÁLIDO","❌ CÓDIGO DE ESCOLA INVÁLIDO",IF(H133&gt;G133,"❌ REJEITADO MAIOR QUE APRESENTADO",IF(AND(A133&lt;&gt;"",SUMIF($A$60:$A$559,A133,$G$60:$G$559)&gt;INDEX($G$7:$G$56,MATCH(A133,$A$7:$A$56,0))+0.01),"❌ DISTRIBUÍDO MAIS QUE O ACEITO NESSE RECEBIMENTO","OK")))))))</f>
        <v/>
      </c>
      <c r="L133" s="389">
        <f>IF(A133="","",ROW()-59)</f>
        <v/>
      </c>
    </row>
    <row r="134" hidden="1" outlineLevel="1" s="163">
      <c r="A134" s="380" t="n"/>
      <c r="B134" s="372">
        <f>IF(A134="","",IFERROR(INDEX($C$7:$C$56,MATCH(A134,$A$7:$A$56,0)),"Nº INVÁLIDO"))</f>
        <v/>
      </c>
      <c r="C134" s="372">
        <f>IF(A134="","",IFERROR(INDEX($D$7:$D$56,MATCH(A134,$A$7:$A$56,0)),"Nº INVÁLIDO"))</f>
        <v/>
      </c>
      <c r="D134" s="380" t="n"/>
      <c r="E134" s="381">
        <f>IF(D134="","",IFERROR(INDEX('Entrada de Dados'!$B$6:$B$196,MATCH(D134,'Entrada de Dados'!$A$6:$A$196,0)),"CÓDIGO INVÁLIDO"))</f>
        <v/>
      </c>
      <c r="F134" s="373" t="n"/>
      <c r="G134" s="375" t="n"/>
      <c r="H134" s="375" t="n"/>
      <c r="I134" s="376">
        <f>IF(G134="",0,MAX(G134-H134,0))</f>
        <v/>
      </c>
      <c r="J134" s="380" t="n"/>
      <c r="K134" s="162">
        <f>IF(AND(A134="",D134="",G134="",H134=""),"",IF(AND(OR(A134&lt;&gt;"",D134&lt;&gt;""),G134=""),"⏳ PENDENTE (falta qtd. apresentada)",IF(AND(G134&lt;&gt;"",OR(A134="",D134="")),"❌ FALTA Nº RECEBIMENTO/ESCOLA",IF(B134="Nº INVÁLIDO","❌ Nº DE RECEBIMENTO INVÁLIDO",IF(E134="CÓDIGO INVÁLIDO","❌ CÓDIGO DE ESCOLA INVÁLIDO",IF(H134&gt;G134,"❌ REJEITADO MAIOR QUE APRESENTADO",IF(AND(A134&lt;&gt;"",SUMIF($A$60:$A$559,A134,$G$60:$G$559)&gt;INDEX($G$7:$G$56,MATCH(A134,$A$7:$A$56,0))+0.01),"❌ DISTRIBUÍDO MAIS QUE O ACEITO NESSE RECEBIMENTO","OK")))))))</f>
        <v/>
      </c>
      <c r="L134" s="389">
        <f>IF(A134="","",ROW()-59)</f>
        <v/>
      </c>
    </row>
    <row r="135" hidden="1" outlineLevel="1" s="163">
      <c r="A135" s="380" t="n"/>
      <c r="B135" s="372">
        <f>IF(A135="","",IFERROR(INDEX($C$7:$C$56,MATCH(A135,$A$7:$A$56,0)),"Nº INVÁLIDO"))</f>
        <v/>
      </c>
      <c r="C135" s="372">
        <f>IF(A135="","",IFERROR(INDEX($D$7:$D$56,MATCH(A135,$A$7:$A$56,0)),"Nº INVÁLIDO"))</f>
        <v/>
      </c>
      <c r="D135" s="380" t="n"/>
      <c r="E135" s="381">
        <f>IF(D135="","",IFERROR(INDEX('Entrada de Dados'!$B$6:$B$196,MATCH(D135,'Entrada de Dados'!$A$6:$A$196,0)),"CÓDIGO INVÁLIDO"))</f>
        <v/>
      </c>
      <c r="F135" s="373" t="n"/>
      <c r="G135" s="375" t="n"/>
      <c r="H135" s="375" t="n"/>
      <c r="I135" s="376">
        <f>IF(G135="",0,MAX(G135-H135,0))</f>
        <v/>
      </c>
      <c r="J135" s="380" t="n"/>
      <c r="K135" s="162">
        <f>IF(AND(A135="",D135="",G135="",H135=""),"",IF(AND(OR(A135&lt;&gt;"",D135&lt;&gt;""),G135=""),"⏳ PENDENTE (falta qtd. apresentada)",IF(AND(G135&lt;&gt;"",OR(A135="",D135="")),"❌ FALTA Nº RECEBIMENTO/ESCOLA",IF(B135="Nº INVÁLIDO","❌ Nº DE RECEBIMENTO INVÁLIDO",IF(E135="CÓDIGO INVÁLIDO","❌ CÓDIGO DE ESCOLA INVÁLIDO",IF(H135&gt;G135,"❌ REJEITADO MAIOR QUE APRESENTADO",IF(AND(A135&lt;&gt;"",SUMIF($A$60:$A$559,A135,$G$60:$G$559)&gt;INDEX($G$7:$G$56,MATCH(A135,$A$7:$A$56,0))+0.01),"❌ DISTRIBUÍDO MAIS QUE O ACEITO NESSE RECEBIMENTO","OK")))))))</f>
        <v/>
      </c>
      <c r="L135" s="389">
        <f>IF(A135="","",ROW()-59)</f>
        <v/>
      </c>
    </row>
    <row r="136" hidden="1" outlineLevel="1" s="163">
      <c r="A136" s="380" t="n"/>
      <c r="B136" s="372">
        <f>IF(A136="","",IFERROR(INDEX($C$7:$C$56,MATCH(A136,$A$7:$A$56,0)),"Nº INVÁLIDO"))</f>
        <v/>
      </c>
      <c r="C136" s="372">
        <f>IF(A136="","",IFERROR(INDEX($D$7:$D$56,MATCH(A136,$A$7:$A$56,0)),"Nº INVÁLIDO"))</f>
        <v/>
      </c>
      <c r="D136" s="380" t="n"/>
      <c r="E136" s="381">
        <f>IF(D136="","",IFERROR(INDEX('Entrada de Dados'!$B$6:$B$196,MATCH(D136,'Entrada de Dados'!$A$6:$A$196,0)),"CÓDIGO INVÁLIDO"))</f>
        <v/>
      </c>
      <c r="F136" s="373" t="n"/>
      <c r="G136" s="375" t="n"/>
      <c r="H136" s="375" t="n"/>
      <c r="I136" s="376">
        <f>IF(G136="",0,MAX(G136-H136,0))</f>
        <v/>
      </c>
      <c r="J136" s="380" t="n"/>
      <c r="K136" s="162">
        <f>IF(AND(A136="",D136="",G136="",H136=""),"",IF(AND(OR(A136&lt;&gt;"",D136&lt;&gt;""),G136=""),"⏳ PENDENTE (falta qtd. apresentada)",IF(AND(G136&lt;&gt;"",OR(A136="",D136="")),"❌ FALTA Nº RECEBIMENTO/ESCOLA",IF(B136="Nº INVÁLIDO","❌ Nº DE RECEBIMENTO INVÁLIDO",IF(E136="CÓDIGO INVÁLIDO","❌ CÓDIGO DE ESCOLA INVÁLIDO",IF(H136&gt;G136,"❌ REJEITADO MAIOR QUE APRESENTADO",IF(AND(A136&lt;&gt;"",SUMIF($A$60:$A$559,A136,$G$60:$G$559)&gt;INDEX($G$7:$G$56,MATCH(A136,$A$7:$A$56,0))+0.01),"❌ DISTRIBUÍDO MAIS QUE O ACEITO NESSE RECEBIMENTO","OK")))))))</f>
        <v/>
      </c>
      <c r="L136" s="389">
        <f>IF(A136="","",ROW()-59)</f>
        <v/>
      </c>
    </row>
    <row r="137" hidden="1" outlineLevel="1" s="163">
      <c r="A137" s="380" t="n"/>
      <c r="B137" s="372">
        <f>IF(A137="","",IFERROR(INDEX($C$7:$C$56,MATCH(A137,$A$7:$A$56,0)),"Nº INVÁLIDO"))</f>
        <v/>
      </c>
      <c r="C137" s="372">
        <f>IF(A137="","",IFERROR(INDEX($D$7:$D$56,MATCH(A137,$A$7:$A$56,0)),"Nº INVÁLIDO"))</f>
        <v/>
      </c>
      <c r="D137" s="380" t="n"/>
      <c r="E137" s="381">
        <f>IF(D137="","",IFERROR(INDEX('Entrada de Dados'!$B$6:$B$196,MATCH(D137,'Entrada de Dados'!$A$6:$A$196,0)),"CÓDIGO INVÁLIDO"))</f>
        <v/>
      </c>
      <c r="F137" s="373" t="n"/>
      <c r="G137" s="375" t="n"/>
      <c r="H137" s="375" t="n"/>
      <c r="I137" s="376">
        <f>IF(G137="",0,MAX(G137-H137,0))</f>
        <v/>
      </c>
      <c r="J137" s="380" t="n"/>
      <c r="K137" s="162">
        <f>IF(AND(A137="",D137="",G137="",H137=""),"",IF(AND(OR(A137&lt;&gt;"",D137&lt;&gt;""),G137=""),"⏳ PENDENTE (falta qtd. apresentada)",IF(AND(G137&lt;&gt;"",OR(A137="",D137="")),"❌ FALTA Nº RECEBIMENTO/ESCOLA",IF(B137="Nº INVÁLIDO","❌ Nº DE RECEBIMENTO INVÁLIDO",IF(E137="CÓDIGO INVÁLIDO","❌ CÓDIGO DE ESCOLA INVÁLIDO",IF(H137&gt;G137,"❌ REJEITADO MAIOR QUE APRESENTADO",IF(AND(A137&lt;&gt;"",SUMIF($A$60:$A$559,A137,$G$60:$G$559)&gt;INDEX($G$7:$G$56,MATCH(A137,$A$7:$A$56,0))+0.01),"❌ DISTRIBUÍDO MAIS QUE O ACEITO NESSE RECEBIMENTO","OK")))))))</f>
        <v/>
      </c>
      <c r="L137" s="389">
        <f>IF(A137="","",ROW()-59)</f>
        <v/>
      </c>
    </row>
    <row r="138" hidden="1" outlineLevel="1" s="163">
      <c r="A138" s="380" t="n"/>
      <c r="B138" s="372">
        <f>IF(A138="","",IFERROR(INDEX($C$7:$C$56,MATCH(A138,$A$7:$A$56,0)),"Nº INVÁLIDO"))</f>
        <v/>
      </c>
      <c r="C138" s="372">
        <f>IF(A138="","",IFERROR(INDEX($D$7:$D$56,MATCH(A138,$A$7:$A$56,0)),"Nº INVÁLIDO"))</f>
        <v/>
      </c>
      <c r="D138" s="380" t="n"/>
      <c r="E138" s="381">
        <f>IF(D138="","",IFERROR(INDEX('Entrada de Dados'!$B$6:$B$196,MATCH(D138,'Entrada de Dados'!$A$6:$A$196,0)),"CÓDIGO INVÁLIDO"))</f>
        <v/>
      </c>
      <c r="F138" s="373" t="n"/>
      <c r="G138" s="375" t="n"/>
      <c r="H138" s="375" t="n"/>
      <c r="I138" s="376">
        <f>IF(G138="",0,MAX(G138-H138,0))</f>
        <v/>
      </c>
      <c r="J138" s="380" t="n"/>
      <c r="K138" s="162">
        <f>IF(AND(A138="",D138="",G138="",H138=""),"",IF(AND(OR(A138&lt;&gt;"",D138&lt;&gt;""),G138=""),"⏳ PENDENTE (falta qtd. apresentada)",IF(AND(G138&lt;&gt;"",OR(A138="",D138="")),"❌ FALTA Nº RECEBIMENTO/ESCOLA",IF(B138="Nº INVÁLIDO","❌ Nº DE RECEBIMENTO INVÁLIDO",IF(E138="CÓDIGO INVÁLIDO","❌ CÓDIGO DE ESCOLA INVÁLIDO",IF(H138&gt;G138,"❌ REJEITADO MAIOR QUE APRESENTADO",IF(AND(A138&lt;&gt;"",SUMIF($A$60:$A$559,A138,$G$60:$G$559)&gt;INDEX($G$7:$G$56,MATCH(A138,$A$7:$A$56,0))+0.01),"❌ DISTRIBUÍDO MAIS QUE O ACEITO NESSE RECEBIMENTO","OK")))))))</f>
        <v/>
      </c>
      <c r="L138" s="389">
        <f>IF(A138="","",ROW()-59)</f>
        <v/>
      </c>
    </row>
    <row r="139" hidden="1" outlineLevel="1" s="163">
      <c r="A139" s="380" t="n"/>
      <c r="B139" s="372">
        <f>IF(A139="","",IFERROR(INDEX($C$7:$C$56,MATCH(A139,$A$7:$A$56,0)),"Nº INVÁLIDO"))</f>
        <v/>
      </c>
      <c r="C139" s="372">
        <f>IF(A139="","",IFERROR(INDEX($D$7:$D$56,MATCH(A139,$A$7:$A$56,0)),"Nº INVÁLIDO"))</f>
        <v/>
      </c>
      <c r="D139" s="380" t="n"/>
      <c r="E139" s="381">
        <f>IF(D139="","",IFERROR(INDEX('Entrada de Dados'!$B$6:$B$196,MATCH(D139,'Entrada de Dados'!$A$6:$A$196,0)),"CÓDIGO INVÁLIDO"))</f>
        <v/>
      </c>
      <c r="F139" s="373" t="n"/>
      <c r="G139" s="375" t="n"/>
      <c r="H139" s="375" t="n"/>
      <c r="I139" s="376">
        <f>IF(G139="",0,MAX(G139-H139,0))</f>
        <v/>
      </c>
      <c r="J139" s="380" t="n"/>
      <c r="K139" s="162">
        <f>IF(AND(A139="",D139="",G139="",H139=""),"",IF(AND(OR(A139&lt;&gt;"",D139&lt;&gt;""),G139=""),"⏳ PENDENTE (falta qtd. apresentada)",IF(AND(G139&lt;&gt;"",OR(A139="",D139="")),"❌ FALTA Nº RECEBIMENTO/ESCOLA",IF(B139="Nº INVÁLIDO","❌ Nº DE RECEBIMENTO INVÁLIDO",IF(E139="CÓDIGO INVÁLIDO","❌ CÓDIGO DE ESCOLA INVÁLIDO",IF(H139&gt;G139,"❌ REJEITADO MAIOR QUE APRESENTADO",IF(AND(A139&lt;&gt;"",SUMIF($A$60:$A$559,A139,$G$60:$G$559)&gt;INDEX($G$7:$G$56,MATCH(A139,$A$7:$A$56,0))+0.01),"❌ DISTRIBUÍDO MAIS QUE O ACEITO NESSE RECEBIMENTO","OK")))))))</f>
        <v/>
      </c>
      <c r="L139" s="389">
        <f>IF(A139="","",ROW()-59)</f>
        <v/>
      </c>
    </row>
    <row r="140" hidden="1" outlineLevel="1" s="163">
      <c r="A140" s="380" t="n"/>
      <c r="B140" s="372">
        <f>IF(A140="","",IFERROR(INDEX($C$7:$C$56,MATCH(A140,$A$7:$A$56,0)),"Nº INVÁLIDO"))</f>
        <v/>
      </c>
      <c r="C140" s="372">
        <f>IF(A140="","",IFERROR(INDEX($D$7:$D$56,MATCH(A140,$A$7:$A$56,0)),"Nº INVÁLIDO"))</f>
        <v/>
      </c>
      <c r="D140" s="380" t="n"/>
      <c r="E140" s="381">
        <f>IF(D140="","",IFERROR(INDEX('Entrada de Dados'!$B$6:$B$196,MATCH(D140,'Entrada de Dados'!$A$6:$A$196,0)),"CÓDIGO INVÁLIDO"))</f>
        <v/>
      </c>
      <c r="F140" s="373" t="n"/>
      <c r="G140" s="375" t="n"/>
      <c r="H140" s="375" t="n"/>
      <c r="I140" s="376">
        <f>IF(G140="",0,MAX(G140-H140,0))</f>
        <v/>
      </c>
      <c r="J140" s="380" t="n"/>
      <c r="K140" s="162">
        <f>IF(AND(A140="",D140="",G140="",H140=""),"",IF(AND(OR(A140&lt;&gt;"",D140&lt;&gt;""),G140=""),"⏳ PENDENTE (falta qtd. apresentada)",IF(AND(G140&lt;&gt;"",OR(A140="",D140="")),"❌ FALTA Nº RECEBIMENTO/ESCOLA",IF(B140="Nº INVÁLIDO","❌ Nº DE RECEBIMENTO INVÁLIDO",IF(E140="CÓDIGO INVÁLIDO","❌ CÓDIGO DE ESCOLA INVÁLIDO",IF(H140&gt;G140,"❌ REJEITADO MAIOR QUE APRESENTADO",IF(AND(A140&lt;&gt;"",SUMIF($A$60:$A$559,A140,$G$60:$G$559)&gt;INDEX($G$7:$G$56,MATCH(A140,$A$7:$A$56,0))+0.01),"❌ DISTRIBUÍDO MAIS QUE O ACEITO NESSE RECEBIMENTO","OK")))))))</f>
        <v/>
      </c>
      <c r="L140" s="389">
        <f>IF(A140="","",ROW()-59)</f>
        <v/>
      </c>
    </row>
    <row r="141" hidden="1" outlineLevel="1" s="163">
      <c r="A141" s="380" t="n"/>
      <c r="B141" s="372">
        <f>IF(A141="","",IFERROR(INDEX($C$7:$C$56,MATCH(A141,$A$7:$A$56,0)),"Nº INVÁLIDO"))</f>
        <v/>
      </c>
      <c r="C141" s="372">
        <f>IF(A141="","",IFERROR(INDEX($D$7:$D$56,MATCH(A141,$A$7:$A$56,0)),"Nº INVÁLIDO"))</f>
        <v/>
      </c>
      <c r="D141" s="380" t="n"/>
      <c r="E141" s="381">
        <f>IF(D141="","",IFERROR(INDEX('Entrada de Dados'!$B$6:$B$196,MATCH(D141,'Entrada de Dados'!$A$6:$A$196,0)),"CÓDIGO INVÁLIDO"))</f>
        <v/>
      </c>
      <c r="F141" s="373" t="n"/>
      <c r="G141" s="375" t="n"/>
      <c r="H141" s="375" t="n"/>
      <c r="I141" s="376">
        <f>IF(G141="",0,MAX(G141-H141,0))</f>
        <v/>
      </c>
      <c r="J141" s="380" t="n"/>
      <c r="K141" s="162">
        <f>IF(AND(A141="",D141="",G141="",H141=""),"",IF(AND(OR(A141&lt;&gt;"",D141&lt;&gt;""),G141=""),"⏳ PENDENTE (falta qtd. apresentada)",IF(AND(G141&lt;&gt;"",OR(A141="",D141="")),"❌ FALTA Nº RECEBIMENTO/ESCOLA",IF(B141="Nº INVÁLIDO","❌ Nº DE RECEBIMENTO INVÁLIDO",IF(E141="CÓDIGO INVÁLIDO","❌ CÓDIGO DE ESCOLA INVÁLIDO",IF(H141&gt;G141,"❌ REJEITADO MAIOR QUE APRESENTADO",IF(AND(A141&lt;&gt;"",SUMIF($A$60:$A$559,A141,$G$60:$G$559)&gt;INDEX($G$7:$G$56,MATCH(A141,$A$7:$A$56,0))+0.01),"❌ DISTRIBUÍDO MAIS QUE O ACEITO NESSE RECEBIMENTO","OK")))))))</f>
        <v/>
      </c>
      <c r="L141" s="389">
        <f>IF(A141="","",ROW()-59)</f>
        <v/>
      </c>
    </row>
    <row r="142" hidden="1" outlineLevel="1" s="163">
      <c r="A142" s="380" t="n"/>
      <c r="B142" s="372">
        <f>IF(A142="","",IFERROR(INDEX($C$7:$C$56,MATCH(A142,$A$7:$A$56,0)),"Nº INVÁLIDO"))</f>
        <v/>
      </c>
      <c r="C142" s="372">
        <f>IF(A142="","",IFERROR(INDEX($D$7:$D$56,MATCH(A142,$A$7:$A$56,0)),"Nº INVÁLIDO"))</f>
        <v/>
      </c>
      <c r="D142" s="380" t="n"/>
      <c r="E142" s="381">
        <f>IF(D142="","",IFERROR(INDEX('Entrada de Dados'!$B$6:$B$196,MATCH(D142,'Entrada de Dados'!$A$6:$A$196,0)),"CÓDIGO INVÁLIDO"))</f>
        <v/>
      </c>
      <c r="F142" s="373" t="n"/>
      <c r="G142" s="375" t="n"/>
      <c r="H142" s="375" t="n"/>
      <c r="I142" s="376">
        <f>IF(G142="",0,MAX(G142-H142,0))</f>
        <v/>
      </c>
      <c r="J142" s="380" t="n"/>
      <c r="K142" s="162">
        <f>IF(AND(A142="",D142="",G142="",H142=""),"",IF(AND(OR(A142&lt;&gt;"",D142&lt;&gt;""),G142=""),"⏳ PENDENTE (falta qtd. apresentada)",IF(AND(G142&lt;&gt;"",OR(A142="",D142="")),"❌ FALTA Nº RECEBIMENTO/ESCOLA",IF(B142="Nº INVÁLIDO","❌ Nº DE RECEBIMENTO INVÁLIDO",IF(E142="CÓDIGO INVÁLIDO","❌ CÓDIGO DE ESCOLA INVÁLIDO",IF(H142&gt;G142,"❌ REJEITADO MAIOR QUE APRESENTADO",IF(AND(A142&lt;&gt;"",SUMIF($A$60:$A$559,A142,$G$60:$G$559)&gt;INDEX($G$7:$G$56,MATCH(A142,$A$7:$A$56,0))+0.01),"❌ DISTRIBUÍDO MAIS QUE O ACEITO NESSE RECEBIMENTO","OK")))))))</f>
        <v/>
      </c>
      <c r="L142" s="389">
        <f>IF(A142="","",ROW()-59)</f>
        <v/>
      </c>
    </row>
    <row r="143" hidden="1" outlineLevel="1" s="163">
      <c r="A143" s="380" t="n"/>
      <c r="B143" s="372">
        <f>IF(A143="","",IFERROR(INDEX($C$7:$C$56,MATCH(A143,$A$7:$A$56,0)),"Nº INVÁLIDO"))</f>
        <v/>
      </c>
      <c r="C143" s="372">
        <f>IF(A143="","",IFERROR(INDEX($D$7:$D$56,MATCH(A143,$A$7:$A$56,0)),"Nº INVÁLIDO"))</f>
        <v/>
      </c>
      <c r="D143" s="380" t="n"/>
      <c r="E143" s="381">
        <f>IF(D143="","",IFERROR(INDEX('Entrada de Dados'!$B$6:$B$196,MATCH(D143,'Entrada de Dados'!$A$6:$A$196,0)),"CÓDIGO INVÁLIDO"))</f>
        <v/>
      </c>
      <c r="F143" s="373" t="n"/>
      <c r="G143" s="375" t="n"/>
      <c r="H143" s="375" t="n"/>
      <c r="I143" s="376">
        <f>IF(G143="",0,MAX(G143-H143,0))</f>
        <v/>
      </c>
      <c r="J143" s="380" t="n"/>
      <c r="K143" s="162">
        <f>IF(AND(A143="",D143="",G143="",H143=""),"",IF(AND(OR(A143&lt;&gt;"",D143&lt;&gt;""),G143=""),"⏳ PENDENTE (falta qtd. apresentada)",IF(AND(G143&lt;&gt;"",OR(A143="",D143="")),"❌ FALTA Nº RECEBIMENTO/ESCOLA",IF(B143="Nº INVÁLIDO","❌ Nº DE RECEBIMENTO INVÁLIDO",IF(E143="CÓDIGO INVÁLIDO","❌ CÓDIGO DE ESCOLA INVÁLIDO",IF(H143&gt;G143,"❌ REJEITADO MAIOR QUE APRESENTADO",IF(AND(A143&lt;&gt;"",SUMIF($A$60:$A$559,A143,$G$60:$G$559)&gt;INDEX($G$7:$G$56,MATCH(A143,$A$7:$A$56,0))+0.01),"❌ DISTRIBUÍDO MAIS QUE O ACEITO NESSE RECEBIMENTO","OK")))))))</f>
        <v/>
      </c>
      <c r="L143" s="389">
        <f>IF(A143="","",ROW()-59)</f>
        <v/>
      </c>
    </row>
    <row r="144" hidden="1" outlineLevel="1" s="163">
      <c r="A144" s="380" t="n"/>
      <c r="B144" s="372">
        <f>IF(A144="","",IFERROR(INDEX($C$7:$C$56,MATCH(A144,$A$7:$A$56,0)),"Nº INVÁLIDO"))</f>
        <v/>
      </c>
      <c r="C144" s="372">
        <f>IF(A144="","",IFERROR(INDEX($D$7:$D$56,MATCH(A144,$A$7:$A$56,0)),"Nº INVÁLIDO"))</f>
        <v/>
      </c>
      <c r="D144" s="380" t="n"/>
      <c r="E144" s="381">
        <f>IF(D144="","",IFERROR(INDEX('Entrada de Dados'!$B$6:$B$196,MATCH(D144,'Entrada de Dados'!$A$6:$A$196,0)),"CÓDIGO INVÁLIDO"))</f>
        <v/>
      </c>
      <c r="F144" s="373" t="n"/>
      <c r="G144" s="375" t="n"/>
      <c r="H144" s="375" t="n"/>
      <c r="I144" s="376">
        <f>IF(G144="",0,MAX(G144-H144,0))</f>
        <v/>
      </c>
      <c r="J144" s="380" t="n"/>
      <c r="K144" s="162">
        <f>IF(AND(A144="",D144="",G144="",H144=""),"",IF(AND(OR(A144&lt;&gt;"",D144&lt;&gt;""),G144=""),"⏳ PENDENTE (falta qtd. apresentada)",IF(AND(G144&lt;&gt;"",OR(A144="",D144="")),"❌ FALTA Nº RECEBIMENTO/ESCOLA",IF(B144="Nº INVÁLIDO","❌ Nº DE RECEBIMENTO INVÁLIDO",IF(E144="CÓDIGO INVÁLIDO","❌ CÓDIGO DE ESCOLA INVÁLIDO",IF(H144&gt;G144,"❌ REJEITADO MAIOR QUE APRESENTADO",IF(AND(A144&lt;&gt;"",SUMIF($A$60:$A$559,A144,$G$60:$G$559)&gt;INDEX($G$7:$G$56,MATCH(A144,$A$7:$A$56,0))+0.01),"❌ DISTRIBUÍDO MAIS QUE O ACEITO NESSE RECEBIMENTO","OK")))))))</f>
        <v/>
      </c>
      <c r="L144" s="389">
        <f>IF(A144="","",ROW()-59)</f>
        <v/>
      </c>
    </row>
    <row r="145" hidden="1" outlineLevel="1" s="163">
      <c r="A145" s="380" t="n"/>
      <c r="B145" s="372">
        <f>IF(A145="","",IFERROR(INDEX($C$7:$C$56,MATCH(A145,$A$7:$A$56,0)),"Nº INVÁLIDO"))</f>
        <v/>
      </c>
      <c r="C145" s="372">
        <f>IF(A145="","",IFERROR(INDEX($D$7:$D$56,MATCH(A145,$A$7:$A$56,0)),"Nº INVÁLIDO"))</f>
        <v/>
      </c>
      <c r="D145" s="380" t="n"/>
      <c r="E145" s="381">
        <f>IF(D145="","",IFERROR(INDEX('Entrada de Dados'!$B$6:$B$196,MATCH(D145,'Entrada de Dados'!$A$6:$A$196,0)),"CÓDIGO INVÁLIDO"))</f>
        <v/>
      </c>
      <c r="F145" s="373" t="n"/>
      <c r="G145" s="375" t="n"/>
      <c r="H145" s="375" t="n"/>
      <c r="I145" s="376">
        <f>IF(G145="",0,MAX(G145-H145,0))</f>
        <v/>
      </c>
      <c r="J145" s="380" t="n"/>
      <c r="K145" s="162">
        <f>IF(AND(A145="",D145="",G145="",H145=""),"",IF(AND(OR(A145&lt;&gt;"",D145&lt;&gt;""),G145=""),"⏳ PENDENTE (falta qtd. apresentada)",IF(AND(G145&lt;&gt;"",OR(A145="",D145="")),"❌ FALTA Nº RECEBIMENTO/ESCOLA",IF(B145="Nº INVÁLIDO","❌ Nº DE RECEBIMENTO INVÁLIDO",IF(E145="CÓDIGO INVÁLIDO","❌ CÓDIGO DE ESCOLA INVÁLIDO",IF(H145&gt;G145,"❌ REJEITADO MAIOR QUE APRESENTADO",IF(AND(A145&lt;&gt;"",SUMIF($A$60:$A$559,A145,$G$60:$G$559)&gt;INDEX($G$7:$G$56,MATCH(A145,$A$7:$A$56,0))+0.01),"❌ DISTRIBUÍDO MAIS QUE O ACEITO NESSE RECEBIMENTO","OK")))))))</f>
        <v/>
      </c>
      <c r="L145" s="389">
        <f>IF(A145="","",ROW()-59)</f>
        <v/>
      </c>
    </row>
    <row r="146" hidden="1" outlineLevel="1" s="163">
      <c r="A146" s="380" t="n"/>
      <c r="B146" s="372">
        <f>IF(A146="","",IFERROR(INDEX($C$7:$C$56,MATCH(A146,$A$7:$A$56,0)),"Nº INVÁLIDO"))</f>
        <v/>
      </c>
      <c r="C146" s="372">
        <f>IF(A146="","",IFERROR(INDEX($D$7:$D$56,MATCH(A146,$A$7:$A$56,0)),"Nº INVÁLIDO"))</f>
        <v/>
      </c>
      <c r="D146" s="380" t="n"/>
      <c r="E146" s="381">
        <f>IF(D146="","",IFERROR(INDEX('Entrada de Dados'!$B$6:$B$196,MATCH(D146,'Entrada de Dados'!$A$6:$A$196,0)),"CÓDIGO INVÁLIDO"))</f>
        <v/>
      </c>
      <c r="F146" s="373" t="n"/>
      <c r="G146" s="375" t="n"/>
      <c r="H146" s="375" t="n"/>
      <c r="I146" s="376">
        <f>IF(G146="",0,MAX(G146-H146,0))</f>
        <v/>
      </c>
      <c r="J146" s="380" t="n"/>
      <c r="K146" s="162">
        <f>IF(AND(A146="",D146="",G146="",H146=""),"",IF(AND(OR(A146&lt;&gt;"",D146&lt;&gt;""),G146=""),"⏳ PENDENTE (falta qtd. apresentada)",IF(AND(G146&lt;&gt;"",OR(A146="",D146="")),"❌ FALTA Nº RECEBIMENTO/ESCOLA",IF(B146="Nº INVÁLIDO","❌ Nº DE RECEBIMENTO INVÁLIDO",IF(E146="CÓDIGO INVÁLIDO","❌ CÓDIGO DE ESCOLA INVÁLIDO",IF(H146&gt;G146,"❌ REJEITADO MAIOR QUE APRESENTADO",IF(AND(A146&lt;&gt;"",SUMIF($A$60:$A$559,A146,$G$60:$G$559)&gt;INDEX($G$7:$G$56,MATCH(A146,$A$7:$A$56,0))+0.01),"❌ DISTRIBUÍDO MAIS QUE O ACEITO NESSE RECEBIMENTO","OK")))))))</f>
        <v/>
      </c>
      <c r="L146" s="389">
        <f>IF(A146="","",ROW()-59)</f>
        <v/>
      </c>
    </row>
    <row r="147" hidden="1" outlineLevel="1" s="163">
      <c r="A147" s="380" t="n"/>
      <c r="B147" s="372">
        <f>IF(A147="","",IFERROR(INDEX($C$7:$C$56,MATCH(A147,$A$7:$A$56,0)),"Nº INVÁLIDO"))</f>
        <v/>
      </c>
      <c r="C147" s="372">
        <f>IF(A147="","",IFERROR(INDEX($D$7:$D$56,MATCH(A147,$A$7:$A$56,0)),"Nº INVÁLIDO"))</f>
        <v/>
      </c>
      <c r="D147" s="380" t="n"/>
      <c r="E147" s="381">
        <f>IF(D147="","",IFERROR(INDEX('Entrada de Dados'!$B$6:$B$196,MATCH(D147,'Entrada de Dados'!$A$6:$A$196,0)),"CÓDIGO INVÁLIDO"))</f>
        <v/>
      </c>
      <c r="F147" s="373" t="n"/>
      <c r="G147" s="375" t="n"/>
      <c r="H147" s="375" t="n"/>
      <c r="I147" s="376">
        <f>IF(G147="",0,MAX(G147-H147,0))</f>
        <v/>
      </c>
      <c r="J147" s="380" t="n"/>
      <c r="K147" s="162">
        <f>IF(AND(A147="",D147="",G147="",H147=""),"",IF(AND(OR(A147&lt;&gt;"",D147&lt;&gt;""),G147=""),"⏳ PENDENTE (falta qtd. apresentada)",IF(AND(G147&lt;&gt;"",OR(A147="",D147="")),"❌ FALTA Nº RECEBIMENTO/ESCOLA",IF(B147="Nº INVÁLIDO","❌ Nº DE RECEBIMENTO INVÁLIDO",IF(E147="CÓDIGO INVÁLIDO","❌ CÓDIGO DE ESCOLA INVÁLIDO",IF(H147&gt;G147,"❌ REJEITADO MAIOR QUE APRESENTADO",IF(AND(A147&lt;&gt;"",SUMIF($A$60:$A$559,A147,$G$60:$G$559)&gt;INDEX($G$7:$G$56,MATCH(A147,$A$7:$A$56,0))+0.01),"❌ DISTRIBUÍDO MAIS QUE O ACEITO NESSE RECEBIMENTO","OK")))))))</f>
        <v/>
      </c>
      <c r="L147" s="389">
        <f>IF(A147="","",ROW()-59)</f>
        <v/>
      </c>
    </row>
    <row r="148" hidden="1" outlineLevel="1" s="163">
      <c r="A148" s="380" t="n"/>
      <c r="B148" s="372">
        <f>IF(A148="","",IFERROR(INDEX($C$7:$C$56,MATCH(A148,$A$7:$A$56,0)),"Nº INVÁLIDO"))</f>
        <v/>
      </c>
      <c r="C148" s="372">
        <f>IF(A148="","",IFERROR(INDEX($D$7:$D$56,MATCH(A148,$A$7:$A$56,0)),"Nº INVÁLIDO"))</f>
        <v/>
      </c>
      <c r="D148" s="380" t="n"/>
      <c r="E148" s="381">
        <f>IF(D148="","",IFERROR(INDEX('Entrada de Dados'!$B$6:$B$196,MATCH(D148,'Entrada de Dados'!$A$6:$A$196,0)),"CÓDIGO INVÁLIDO"))</f>
        <v/>
      </c>
      <c r="F148" s="373" t="n"/>
      <c r="G148" s="375" t="n"/>
      <c r="H148" s="375" t="n"/>
      <c r="I148" s="376">
        <f>IF(G148="",0,MAX(G148-H148,0))</f>
        <v/>
      </c>
      <c r="J148" s="380" t="n"/>
      <c r="K148" s="162">
        <f>IF(AND(A148="",D148="",G148="",H148=""),"",IF(AND(OR(A148&lt;&gt;"",D148&lt;&gt;""),G148=""),"⏳ PENDENTE (falta qtd. apresentada)",IF(AND(G148&lt;&gt;"",OR(A148="",D148="")),"❌ FALTA Nº RECEBIMENTO/ESCOLA",IF(B148="Nº INVÁLIDO","❌ Nº DE RECEBIMENTO INVÁLIDO",IF(E148="CÓDIGO INVÁLIDO","❌ CÓDIGO DE ESCOLA INVÁLIDO",IF(H148&gt;G148,"❌ REJEITADO MAIOR QUE APRESENTADO",IF(AND(A148&lt;&gt;"",SUMIF($A$60:$A$559,A148,$G$60:$G$559)&gt;INDEX($G$7:$G$56,MATCH(A148,$A$7:$A$56,0))+0.01),"❌ DISTRIBUÍDO MAIS QUE O ACEITO NESSE RECEBIMENTO","OK")))))))</f>
        <v/>
      </c>
      <c r="L148" s="389">
        <f>IF(A148="","",ROW()-59)</f>
        <v/>
      </c>
    </row>
    <row r="149" hidden="1" outlineLevel="1" s="163">
      <c r="A149" s="380" t="n"/>
      <c r="B149" s="372">
        <f>IF(A149="","",IFERROR(INDEX($C$7:$C$56,MATCH(A149,$A$7:$A$56,0)),"Nº INVÁLIDO"))</f>
        <v/>
      </c>
      <c r="C149" s="372">
        <f>IF(A149="","",IFERROR(INDEX($D$7:$D$56,MATCH(A149,$A$7:$A$56,0)),"Nº INVÁLIDO"))</f>
        <v/>
      </c>
      <c r="D149" s="380" t="n"/>
      <c r="E149" s="381">
        <f>IF(D149="","",IFERROR(INDEX('Entrada de Dados'!$B$6:$B$196,MATCH(D149,'Entrada de Dados'!$A$6:$A$196,0)),"CÓDIGO INVÁLIDO"))</f>
        <v/>
      </c>
      <c r="F149" s="373" t="n"/>
      <c r="G149" s="375" t="n"/>
      <c r="H149" s="375" t="n"/>
      <c r="I149" s="376">
        <f>IF(G149="",0,MAX(G149-H149,0))</f>
        <v/>
      </c>
      <c r="J149" s="380" t="n"/>
      <c r="K149" s="162">
        <f>IF(AND(A149="",D149="",G149="",H149=""),"",IF(AND(OR(A149&lt;&gt;"",D149&lt;&gt;""),G149=""),"⏳ PENDENTE (falta qtd. apresentada)",IF(AND(G149&lt;&gt;"",OR(A149="",D149="")),"❌ FALTA Nº RECEBIMENTO/ESCOLA",IF(B149="Nº INVÁLIDO","❌ Nº DE RECEBIMENTO INVÁLIDO",IF(E149="CÓDIGO INVÁLIDO","❌ CÓDIGO DE ESCOLA INVÁLIDO",IF(H149&gt;G149,"❌ REJEITADO MAIOR QUE APRESENTADO",IF(AND(A149&lt;&gt;"",SUMIF($A$60:$A$559,A149,$G$60:$G$559)&gt;INDEX($G$7:$G$56,MATCH(A149,$A$7:$A$56,0))+0.01),"❌ DISTRIBUÍDO MAIS QUE O ACEITO NESSE RECEBIMENTO","OK")))))))</f>
        <v/>
      </c>
      <c r="L149" s="389">
        <f>IF(A149="","",ROW()-59)</f>
        <v/>
      </c>
    </row>
    <row r="150" hidden="1" outlineLevel="1" s="163">
      <c r="A150" s="380" t="n"/>
      <c r="B150" s="372">
        <f>IF(A150="","",IFERROR(INDEX($C$7:$C$56,MATCH(A150,$A$7:$A$56,0)),"Nº INVÁLIDO"))</f>
        <v/>
      </c>
      <c r="C150" s="372">
        <f>IF(A150="","",IFERROR(INDEX($D$7:$D$56,MATCH(A150,$A$7:$A$56,0)),"Nº INVÁLIDO"))</f>
        <v/>
      </c>
      <c r="D150" s="380" t="n"/>
      <c r="E150" s="381">
        <f>IF(D150="","",IFERROR(INDEX('Entrada de Dados'!$B$6:$B$196,MATCH(D150,'Entrada de Dados'!$A$6:$A$196,0)),"CÓDIGO INVÁLIDO"))</f>
        <v/>
      </c>
      <c r="F150" s="373" t="n"/>
      <c r="G150" s="375" t="n"/>
      <c r="H150" s="375" t="n"/>
      <c r="I150" s="376">
        <f>IF(G150="",0,MAX(G150-H150,0))</f>
        <v/>
      </c>
      <c r="J150" s="380" t="n"/>
      <c r="K150" s="162">
        <f>IF(AND(A150="",D150="",G150="",H150=""),"",IF(AND(OR(A150&lt;&gt;"",D150&lt;&gt;""),G150=""),"⏳ PENDENTE (falta qtd. apresentada)",IF(AND(G150&lt;&gt;"",OR(A150="",D150="")),"❌ FALTA Nº RECEBIMENTO/ESCOLA",IF(B150="Nº INVÁLIDO","❌ Nº DE RECEBIMENTO INVÁLIDO",IF(E150="CÓDIGO INVÁLIDO","❌ CÓDIGO DE ESCOLA INVÁLIDO",IF(H150&gt;G150,"❌ REJEITADO MAIOR QUE APRESENTADO",IF(AND(A150&lt;&gt;"",SUMIF($A$60:$A$559,A150,$G$60:$G$559)&gt;INDEX($G$7:$G$56,MATCH(A150,$A$7:$A$56,0))+0.01),"❌ DISTRIBUÍDO MAIS QUE O ACEITO NESSE RECEBIMENTO","OK")))))))</f>
        <v/>
      </c>
      <c r="L150" s="389">
        <f>IF(A150="","",ROW()-59)</f>
        <v/>
      </c>
    </row>
    <row r="151" hidden="1" outlineLevel="1" s="163">
      <c r="A151" s="380" t="n"/>
      <c r="B151" s="372">
        <f>IF(A151="","",IFERROR(INDEX($C$7:$C$56,MATCH(A151,$A$7:$A$56,0)),"Nº INVÁLIDO"))</f>
        <v/>
      </c>
      <c r="C151" s="372">
        <f>IF(A151="","",IFERROR(INDEX($D$7:$D$56,MATCH(A151,$A$7:$A$56,0)),"Nº INVÁLIDO"))</f>
        <v/>
      </c>
      <c r="D151" s="380" t="n"/>
      <c r="E151" s="381">
        <f>IF(D151="","",IFERROR(INDEX('Entrada de Dados'!$B$6:$B$196,MATCH(D151,'Entrada de Dados'!$A$6:$A$196,0)),"CÓDIGO INVÁLIDO"))</f>
        <v/>
      </c>
      <c r="F151" s="373" t="n"/>
      <c r="G151" s="375" t="n"/>
      <c r="H151" s="375" t="n"/>
      <c r="I151" s="376">
        <f>IF(G151="",0,MAX(G151-H151,0))</f>
        <v/>
      </c>
      <c r="J151" s="380" t="n"/>
      <c r="K151" s="162">
        <f>IF(AND(A151="",D151="",G151="",H151=""),"",IF(AND(OR(A151&lt;&gt;"",D151&lt;&gt;""),G151=""),"⏳ PENDENTE (falta qtd. apresentada)",IF(AND(G151&lt;&gt;"",OR(A151="",D151="")),"❌ FALTA Nº RECEBIMENTO/ESCOLA",IF(B151="Nº INVÁLIDO","❌ Nº DE RECEBIMENTO INVÁLIDO",IF(E151="CÓDIGO INVÁLIDO","❌ CÓDIGO DE ESCOLA INVÁLIDO",IF(H151&gt;G151,"❌ REJEITADO MAIOR QUE APRESENTADO",IF(AND(A151&lt;&gt;"",SUMIF($A$60:$A$559,A151,$G$60:$G$559)&gt;INDEX($G$7:$G$56,MATCH(A151,$A$7:$A$56,0))+0.01),"❌ DISTRIBUÍDO MAIS QUE O ACEITO NESSE RECEBIMENTO","OK")))))))</f>
        <v/>
      </c>
      <c r="L151" s="389">
        <f>IF(A151="","",ROW()-59)</f>
        <v/>
      </c>
    </row>
    <row r="152" hidden="1" outlineLevel="1" s="163">
      <c r="A152" s="380" t="n"/>
      <c r="B152" s="372">
        <f>IF(A152="","",IFERROR(INDEX($C$7:$C$56,MATCH(A152,$A$7:$A$56,0)),"Nº INVÁLIDO"))</f>
        <v/>
      </c>
      <c r="C152" s="372">
        <f>IF(A152="","",IFERROR(INDEX($D$7:$D$56,MATCH(A152,$A$7:$A$56,0)),"Nº INVÁLIDO"))</f>
        <v/>
      </c>
      <c r="D152" s="380" t="n"/>
      <c r="E152" s="381">
        <f>IF(D152="","",IFERROR(INDEX('Entrada de Dados'!$B$6:$B$196,MATCH(D152,'Entrada de Dados'!$A$6:$A$196,0)),"CÓDIGO INVÁLIDO"))</f>
        <v/>
      </c>
      <c r="F152" s="373" t="n"/>
      <c r="G152" s="375" t="n"/>
      <c r="H152" s="375" t="n"/>
      <c r="I152" s="376">
        <f>IF(G152="",0,MAX(G152-H152,0))</f>
        <v/>
      </c>
      <c r="J152" s="380" t="n"/>
      <c r="K152" s="162">
        <f>IF(AND(A152="",D152="",G152="",H152=""),"",IF(AND(OR(A152&lt;&gt;"",D152&lt;&gt;""),G152=""),"⏳ PENDENTE (falta qtd. apresentada)",IF(AND(G152&lt;&gt;"",OR(A152="",D152="")),"❌ FALTA Nº RECEBIMENTO/ESCOLA",IF(B152="Nº INVÁLIDO","❌ Nº DE RECEBIMENTO INVÁLIDO",IF(E152="CÓDIGO INVÁLIDO","❌ CÓDIGO DE ESCOLA INVÁLIDO",IF(H152&gt;G152,"❌ REJEITADO MAIOR QUE APRESENTADO",IF(AND(A152&lt;&gt;"",SUMIF($A$60:$A$559,A152,$G$60:$G$559)&gt;INDEX($G$7:$G$56,MATCH(A152,$A$7:$A$56,0))+0.01),"❌ DISTRIBUÍDO MAIS QUE O ACEITO NESSE RECEBIMENTO","OK")))))))</f>
        <v/>
      </c>
      <c r="L152" s="389">
        <f>IF(A152="","",ROW()-59)</f>
        <v/>
      </c>
    </row>
    <row r="153" hidden="1" outlineLevel="1" s="163">
      <c r="A153" s="380" t="n"/>
      <c r="B153" s="372">
        <f>IF(A153="","",IFERROR(INDEX($C$7:$C$56,MATCH(A153,$A$7:$A$56,0)),"Nº INVÁLIDO"))</f>
        <v/>
      </c>
      <c r="C153" s="372">
        <f>IF(A153="","",IFERROR(INDEX($D$7:$D$56,MATCH(A153,$A$7:$A$56,0)),"Nº INVÁLIDO"))</f>
        <v/>
      </c>
      <c r="D153" s="380" t="n"/>
      <c r="E153" s="381">
        <f>IF(D153="","",IFERROR(INDEX('Entrada de Dados'!$B$6:$B$196,MATCH(D153,'Entrada de Dados'!$A$6:$A$196,0)),"CÓDIGO INVÁLIDO"))</f>
        <v/>
      </c>
      <c r="F153" s="373" t="n"/>
      <c r="G153" s="375" t="n"/>
      <c r="H153" s="375" t="n"/>
      <c r="I153" s="376">
        <f>IF(G153="",0,MAX(G153-H153,0))</f>
        <v/>
      </c>
      <c r="J153" s="380" t="n"/>
      <c r="K153" s="162">
        <f>IF(AND(A153="",D153="",G153="",H153=""),"",IF(AND(OR(A153&lt;&gt;"",D153&lt;&gt;""),G153=""),"⏳ PENDENTE (falta qtd. apresentada)",IF(AND(G153&lt;&gt;"",OR(A153="",D153="")),"❌ FALTA Nº RECEBIMENTO/ESCOLA",IF(B153="Nº INVÁLIDO","❌ Nº DE RECEBIMENTO INVÁLIDO",IF(E153="CÓDIGO INVÁLIDO","❌ CÓDIGO DE ESCOLA INVÁLIDO",IF(H153&gt;G153,"❌ REJEITADO MAIOR QUE APRESENTADO",IF(AND(A153&lt;&gt;"",SUMIF($A$60:$A$559,A153,$G$60:$G$559)&gt;INDEX($G$7:$G$56,MATCH(A153,$A$7:$A$56,0))+0.01),"❌ DISTRIBUÍDO MAIS QUE O ACEITO NESSE RECEBIMENTO","OK")))))))</f>
        <v/>
      </c>
      <c r="L153" s="389">
        <f>IF(A153="","",ROW()-59)</f>
        <v/>
      </c>
    </row>
    <row r="154" hidden="1" outlineLevel="1" s="163">
      <c r="A154" s="380" t="n"/>
      <c r="B154" s="372">
        <f>IF(A154="","",IFERROR(INDEX($C$7:$C$56,MATCH(A154,$A$7:$A$56,0)),"Nº INVÁLIDO"))</f>
        <v/>
      </c>
      <c r="C154" s="372">
        <f>IF(A154="","",IFERROR(INDEX($D$7:$D$56,MATCH(A154,$A$7:$A$56,0)),"Nº INVÁLIDO"))</f>
        <v/>
      </c>
      <c r="D154" s="380" t="n"/>
      <c r="E154" s="381">
        <f>IF(D154="","",IFERROR(INDEX('Entrada de Dados'!$B$6:$B$196,MATCH(D154,'Entrada de Dados'!$A$6:$A$196,0)),"CÓDIGO INVÁLIDO"))</f>
        <v/>
      </c>
      <c r="F154" s="373" t="n"/>
      <c r="G154" s="375" t="n"/>
      <c r="H154" s="375" t="n"/>
      <c r="I154" s="376">
        <f>IF(G154="",0,MAX(G154-H154,0))</f>
        <v/>
      </c>
      <c r="J154" s="380" t="n"/>
      <c r="K154" s="162">
        <f>IF(AND(A154="",D154="",G154="",H154=""),"",IF(AND(OR(A154&lt;&gt;"",D154&lt;&gt;""),G154=""),"⏳ PENDENTE (falta qtd. apresentada)",IF(AND(G154&lt;&gt;"",OR(A154="",D154="")),"❌ FALTA Nº RECEBIMENTO/ESCOLA",IF(B154="Nº INVÁLIDO","❌ Nº DE RECEBIMENTO INVÁLIDO",IF(E154="CÓDIGO INVÁLIDO","❌ CÓDIGO DE ESCOLA INVÁLIDO",IF(H154&gt;G154,"❌ REJEITADO MAIOR QUE APRESENTADO",IF(AND(A154&lt;&gt;"",SUMIF($A$60:$A$559,A154,$G$60:$G$559)&gt;INDEX($G$7:$G$56,MATCH(A154,$A$7:$A$56,0))+0.01),"❌ DISTRIBUÍDO MAIS QUE O ACEITO NESSE RECEBIMENTO","OK")))))))</f>
        <v/>
      </c>
      <c r="L154" s="389">
        <f>IF(A154="","",ROW()-59)</f>
        <v/>
      </c>
    </row>
    <row r="155" hidden="1" outlineLevel="1" s="163">
      <c r="A155" s="380" t="n"/>
      <c r="B155" s="372">
        <f>IF(A155="","",IFERROR(INDEX($C$7:$C$56,MATCH(A155,$A$7:$A$56,0)),"Nº INVÁLIDO"))</f>
        <v/>
      </c>
      <c r="C155" s="372">
        <f>IF(A155="","",IFERROR(INDEX($D$7:$D$56,MATCH(A155,$A$7:$A$56,0)),"Nº INVÁLIDO"))</f>
        <v/>
      </c>
      <c r="D155" s="380" t="n"/>
      <c r="E155" s="381">
        <f>IF(D155="","",IFERROR(INDEX('Entrada de Dados'!$B$6:$B$196,MATCH(D155,'Entrada de Dados'!$A$6:$A$196,0)),"CÓDIGO INVÁLIDO"))</f>
        <v/>
      </c>
      <c r="F155" s="373" t="n"/>
      <c r="G155" s="375" t="n"/>
      <c r="H155" s="375" t="n"/>
      <c r="I155" s="376">
        <f>IF(G155="",0,MAX(G155-H155,0))</f>
        <v/>
      </c>
      <c r="J155" s="380" t="n"/>
      <c r="K155" s="162">
        <f>IF(AND(A155="",D155="",G155="",H155=""),"",IF(AND(OR(A155&lt;&gt;"",D155&lt;&gt;""),G155=""),"⏳ PENDENTE (falta qtd. apresentada)",IF(AND(G155&lt;&gt;"",OR(A155="",D155="")),"❌ FALTA Nº RECEBIMENTO/ESCOLA",IF(B155="Nº INVÁLIDO","❌ Nº DE RECEBIMENTO INVÁLIDO",IF(E155="CÓDIGO INVÁLIDO","❌ CÓDIGO DE ESCOLA INVÁLIDO",IF(H155&gt;G155,"❌ REJEITADO MAIOR QUE APRESENTADO",IF(AND(A155&lt;&gt;"",SUMIF($A$60:$A$559,A155,$G$60:$G$559)&gt;INDEX($G$7:$G$56,MATCH(A155,$A$7:$A$56,0))+0.01),"❌ DISTRIBUÍDO MAIS QUE O ACEITO NESSE RECEBIMENTO","OK")))))))</f>
        <v/>
      </c>
      <c r="L155" s="389">
        <f>IF(A155="","",ROW()-59)</f>
        <v/>
      </c>
    </row>
    <row r="156" hidden="1" outlineLevel="1" s="163">
      <c r="A156" s="380" t="n"/>
      <c r="B156" s="372">
        <f>IF(A156="","",IFERROR(INDEX($C$7:$C$56,MATCH(A156,$A$7:$A$56,0)),"Nº INVÁLIDO"))</f>
        <v/>
      </c>
      <c r="C156" s="372">
        <f>IF(A156="","",IFERROR(INDEX($D$7:$D$56,MATCH(A156,$A$7:$A$56,0)),"Nº INVÁLIDO"))</f>
        <v/>
      </c>
      <c r="D156" s="380" t="n"/>
      <c r="E156" s="381">
        <f>IF(D156="","",IFERROR(INDEX('Entrada de Dados'!$B$6:$B$196,MATCH(D156,'Entrada de Dados'!$A$6:$A$196,0)),"CÓDIGO INVÁLIDO"))</f>
        <v/>
      </c>
      <c r="F156" s="373" t="n"/>
      <c r="G156" s="375" t="n"/>
      <c r="H156" s="375" t="n"/>
      <c r="I156" s="376">
        <f>IF(G156="",0,MAX(G156-H156,0))</f>
        <v/>
      </c>
      <c r="J156" s="380" t="n"/>
      <c r="K156" s="162">
        <f>IF(AND(A156="",D156="",G156="",H156=""),"",IF(AND(OR(A156&lt;&gt;"",D156&lt;&gt;""),G156=""),"⏳ PENDENTE (falta qtd. apresentada)",IF(AND(G156&lt;&gt;"",OR(A156="",D156="")),"❌ FALTA Nº RECEBIMENTO/ESCOLA",IF(B156="Nº INVÁLIDO","❌ Nº DE RECEBIMENTO INVÁLIDO",IF(E156="CÓDIGO INVÁLIDO","❌ CÓDIGO DE ESCOLA INVÁLIDO",IF(H156&gt;G156,"❌ REJEITADO MAIOR QUE APRESENTADO",IF(AND(A156&lt;&gt;"",SUMIF($A$60:$A$559,A156,$G$60:$G$559)&gt;INDEX($G$7:$G$56,MATCH(A156,$A$7:$A$56,0))+0.01),"❌ DISTRIBUÍDO MAIS QUE O ACEITO NESSE RECEBIMENTO","OK")))))))</f>
        <v/>
      </c>
      <c r="L156" s="389">
        <f>IF(A156="","",ROW()-59)</f>
        <v/>
      </c>
    </row>
    <row r="157" hidden="1" outlineLevel="1" s="163">
      <c r="A157" s="380" t="n"/>
      <c r="B157" s="372">
        <f>IF(A157="","",IFERROR(INDEX($C$7:$C$56,MATCH(A157,$A$7:$A$56,0)),"Nº INVÁLIDO"))</f>
        <v/>
      </c>
      <c r="C157" s="372">
        <f>IF(A157="","",IFERROR(INDEX($D$7:$D$56,MATCH(A157,$A$7:$A$56,0)),"Nº INVÁLIDO"))</f>
        <v/>
      </c>
      <c r="D157" s="380" t="n"/>
      <c r="E157" s="381">
        <f>IF(D157="","",IFERROR(INDEX('Entrada de Dados'!$B$6:$B$196,MATCH(D157,'Entrada de Dados'!$A$6:$A$196,0)),"CÓDIGO INVÁLIDO"))</f>
        <v/>
      </c>
      <c r="F157" s="373" t="n"/>
      <c r="G157" s="375" t="n"/>
      <c r="H157" s="375" t="n"/>
      <c r="I157" s="376">
        <f>IF(G157="",0,MAX(G157-H157,0))</f>
        <v/>
      </c>
      <c r="J157" s="380" t="n"/>
      <c r="K157" s="162">
        <f>IF(AND(A157="",D157="",G157="",H157=""),"",IF(AND(OR(A157&lt;&gt;"",D157&lt;&gt;""),G157=""),"⏳ PENDENTE (falta qtd. apresentada)",IF(AND(G157&lt;&gt;"",OR(A157="",D157="")),"❌ FALTA Nº RECEBIMENTO/ESCOLA",IF(B157="Nº INVÁLIDO","❌ Nº DE RECEBIMENTO INVÁLIDO",IF(E157="CÓDIGO INVÁLIDO","❌ CÓDIGO DE ESCOLA INVÁLIDO",IF(H157&gt;G157,"❌ REJEITADO MAIOR QUE APRESENTADO",IF(AND(A157&lt;&gt;"",SUMIF($A$60:$A$559,A157,$G$60:$G$559)&gt;INDEX($G$7:$G$56,MATCH(A157,$A$7:$A$56,0))+0.01),"❌ DISTRIBUÍDO MAIS QUE O ACEITO NESSE RECEBIMENTO","OK")))))))</f>
        <v/>
      </c>
      <c r="L157" s="389">
        <f>IF(A157="","",ROW()-59)</f>
        <v/>
      </c>
    </row>
    <row r="158" hidden="1" outlineLevel="1" s="163">
      <c r="A158" s="380" t="n"/>
      <c r="B158" s="372">
        <f>IF(A158="","",IFERROR(INDEX($C$7:$C$56,MATCH(A158,$A$7:$A$56,0)),"Nº INVÁLIDO"))</f>
        <v/>
      </c>
      <c r="C158" s="372">
        <f>IF(A158="","",IFERROR(INDEX($D$7:$D$56,MATCH(A158,$A$7:$A$56,0)),"Nº INVÁLIDO"))</f>
        <v/>
      </c>
      <c r="D158" s="380" t="n"/>
      <c r="E158" s="381">
        <f>IF(D158="","",IFERROR(INDEX('Entrada de Dados'!$B$6:$B$196,MATCH(D158,'Entrada de Dados'!$A$6:$A$196,0)),"CÓDIGO INVÁLIDO"))</f>
        <v/>
      </c>
      <c r="F158" s="373" t="n"/>
      <c r="G158" s="375" t="n"/>
      <c r="H158" s="375" t="n"/>
      <c r="I158" s="376">
        <f>IF(G158="",0,MAX(G158-H158,0))</f>
        <v/>
      </c>
      <c r="J158" s="380" t="n"/>
      <c r="K158" s="162">
        <f>IF(AND(A158="",D158="",G158="",H158=""),"",IF(AND(OR(A158&lt;&gt;"",D158&lt;&gt;""),G158=""),"⏳ PENDENTE (falta qtd. apresentada)",IF(AND(G158&lt;&gt;"",OR(A158="",D158="")),"❌ FALTA Nº RECEBIMENTO/ESCOLA",IF(B158="Nº INVÁLIDO","❌ Nº DE RECEBIMENTO INVÁLIDO",IF(E158="CÓDIGO INVÁLIDO","❌ CÓDIGO DE ESCOLA INVÁLIDO",IF(H158&gt;G158,"❌ REJEITADO MAIOR QUE APRESENTADO",IF(AND(A158&lt;&gt;"",SUMIF($A$60:$A$559,A158,$G$60:$G$559)&gt;INDEX($G$7:$G$56,MATCH(A158,$A$7:$A$56,0))+0.01),"❌ DISTRIBUÍDO MAIS QUE O ACEITO NESSE RECEBIMENTO","OK")))))))</f>
        <v/>
      </c>
      <c r="L158" s="389">
        <f>IF(A158="","",ROW()-59)</f>
        <v/>
      </c>
    </row>
    <row r="159" hidden="1" outlineLevel="1" s="163">
      <c r="A159" s="380" t="n"/>
      <c r="B159" s="372">
        <f>IF(A159="","",IFERROR(INDEX($C$7:$C$56,MATCH(A159,$A$7:$A$56,0)),"Nº INVÁLIDO"))</f>
        <v/>
      </c>
      <c r="C159" s="372">
        <f>IF(A159="","",IFERROR(INDEX($D$7:$D$56,MATCH(A159,$A$7:$A$56,0)),"Nº INVÁLIDO"))</f>
        <v/>
      </c>
      <c r="D159" s="380" t="n"/>
      <c r="E159" s="381">
        <f>IF(D159="","",IFERROR(INDEX('Entrada de Dados'!$B$6:$B$196,MATCH(D159,'Entrada de Dados'!$A$6:$A$196,0)),"CÓDIGO INVÁLIDO"))</f>
        <v/>
      </c>
      <c r="F159" s="373" t="n"/>
      <c r="G159" s="375" t="n"/>
      <c r="H159" s="375" t="n"/>
      <c r="I159" s="376">
        <f>IF(G159="",0,MAX(G159-H159,0))</f>
        <v/>
      </c>
      <c r="J159" s="380" t="n"/>
      <c r="K159" s="162">
        <f>IF(AND(A159="",D159="",G159="",H159=""),"",IF(AND(OR(A159&lt;&gt;"",D159&lt;&gt;""),G159=""),"⏳ PENDENTE (falta qtd. apresentada)",IF(AND(G159&lt;&gt;"",OR(A159="",D159="")),"❌ FALTA Nº RECEBIMENTO/ESCOLA",IF(B159="Nº INVÁLIDO","❌ Nº DE RECEBIMENTO INVÁLIDO",IF(E159="CÓDIGO INVÁLIDO","❌ CÓDIGO DE ESCOLA INVÁLIDO",IF(H159&gt;G159,"❌ REJEITADO MAIOR QUE APRESENTADO",IF(AND(A159&lt;&gt;"",SUMIF($A$60:$A$559,A159,$G$60:$G$559)&gt;INDEX($G$7:$G$56,MATCH(A159,$A$7:$A$56,0))+0.01),"❌ DISTRIBUÍDO MAIS QUE O ACEITO NESSE RECEBIMENTO","OK")))))))</f>
        <v/>
      </c>
      <c r="L159" s="389">
        <f>IF(A159="","",ROW()-59)</f>
        <v/>
      </c>
    </row>
    <row r="160" hidden="1" outlineLevel="1" s="163">
      <c r="A160" s="380" t="n"/>
      <c r="B160" s="372">
        <f>IF(A160="","",IFERROR(INDEX($C$7:$C$56,MATCH(A160,$A$7:$A$56,0)),"Nº INVÁLIDO"))</f>
        <v/>
      </c>
      <c r="C160" s="372">
        <f>IF(A160="","",IFERROR(INDEX($D$7:$D$56,MATCH(A160,$A$7:$A$56,0)),"Nº INVÁLIDO"))</f>
        <v/>
      </c>
      <c r="D160" s="380" t="n"/>
      <c r="E160" s="381">
        <f>IF(D160="","",IFERROR(INDEX('Entrada de Dados'!$B$6:$B$196,MATCH(D160,'Entrada de Dados'!$A$6:$A$196,0)),"CÓDIGO INVÁLIDO"))</f>
        <v/>
      </c>
      <c r="F160" s="373" t="n"/>
      <c r="G160" s="375" t="n"/>
      <c r="H160" s="375" t="n"/>
      <c r="I160" s="376">
        <f>IF(G160="",0,MAX(G160-H160,0))</f>
        <v/>
      </c>
      <c r="J160" s="380" t="n"/>
      <c r="K160" s="162">
        <f>IF(AND(A160="",D160="",G160="",H160=""),"",IF(AND(OR(A160&lt;&gt;"",D160&lt;&gt;""),G160=""),"⏳ PENDENTE (falta qtd. apresentada)",IF(AND(G160&lt;&gt;"",OR(A160="",D160="")),"❌ FALTA Nº RECEBIMENTO/ESCOLA",IF(B160="Nº INVÁLIDO","❌ Nº DE RECEBIMENTO INVÁLIDO",IF(E160="CÓDIGO INVÁLIDO","❌ CÓDIGO DE ESCOLA INVÁLIDO",IF(H160&gt;G160,"❌ REJEITADO MAIOR QUE APRESENTADO",IF(AND(A160&lt;&gt;"",SUMIF($A$60:$A$559,A160,$G$60:$G$559)&gt;INDEX($G$7:$G$56,MATCH(A160,$A$7:$A$56,0))+0.01),"❌ DISTRIBUÍDO MAIS QUE O ACEITO NESSE RECEBIMENTO","OK")))))))</f>
        <v/>
      </c>
      <c r="L160" s="389">
        <f>IF(A160="","",ROW()-59)</f>
        <v/>
      </c>
    </row>
    <row r="161" hidden="1" outlineLevel="1" s="163">
      <c r="A161" s="380" t="n"/>
      <c r="B161" s="372">
        <f>IF(A161="","",IFERROR(INDEX($C$7:$C$56,MATCH(A161,$A$7:$A$56,0)),"Nº INVÁLIDO"))</f>
        <v/>
      </c>
      <c r="C161" s="372">
        <f>IF(A161="","",IFERROR(INDEX($D$7:$D$56,MATCH(A161,$A$7:$A$56,0)),"Nº INVÁLIDO"))</f>
        <v/>
      </c>
      <c r="D161" s="380" t="n"/>
      <c r="E161" s="381">
        <f>IF(D161="","",IFERROR(INDEX('Entrada de Dados'!$B$6:$B$196,MATCH(D161,'Entrada de Dados'!$A$6:$A$196,0)),"CÓDIGO INVÁLIDO"))</f>
        <v/>
      </c>
      <c r="F161" s="373" t="n"/>
      <c r="G161" s="375" t="n"/>
      <c r="H161" s="375" t="n"/>
      <c r="I161" s="376">
        <f>IF(G161="",0,MAX(G161-H161,0))</f>
        <v/>
      </c>
      <c r="J161" s="380" t="n"/>
      <c r="K161" s="162">
        <f>IF(AND(A161="",D161="",G161="",H161=""),"",IF(AND(OR(A161&lt;&gt;"",D161&lt;&gt;""),G161=""),"⏳ PENDENTE (falta qtd. apresentada)",IF(AND(G161&lt;&gt;"",OR(A161="",D161="")),"❌ FALTA Nº RECEBIMENTO/ESCOLA",IF(B161="Nº INVÁLIDO","❌ Nº DE RECEBIMENTO INVÁLIDO",IF(E161="CÓDIGO INVÁLIDO","❌ CÓDIGO DE ESCOLA INVÁLIDO",IF(H161&gt;G161,"❌ REJEITADO MAIOR QUE APRESENTADO",IF(AND(A161&lt;&gt;"",SUMIF($A$60:$A$559,A161,$G$60:$G$559)&gt;INDEX($G$7:$G$56,MATCH(A161,$A$7:$A$56,0))+0.01),"❌ DISTRIBUÍDO MAIS QUE O ACEITO NESSE RECEBIMENTO","OK")))))))</f>
        <v/>
      </c>
      <c r="L161" s="389">
        <f>IF(A161="","",ROW()-59)</f>
        <v/>
      </c>
    </row>
    <row r="162" hidden="1" outlineLevel="1" s="163">
      <c r="A162" s="380" t="n"/>
      <c r="B162" s="372">
        <f>IF(A162="","",IFERROR(INDEX($C$7:$C$56,MATCH(A162,$A$7:$A$56,0)),"Nº INVÁLIDO"))</f>
        <v/>
      </c>
      <c r="C162" s="372">
        <f>IF(A162="","",IFERROR(INDEX($D$7:$D$56,MATCH(A162,$A$7:$A$56,0)),"Nº INVÁLIDO"))</f>
        <v/>
      </c>
      <c r="D162" s="380" t="n"/>
      <c r="E162" s="381">
        <f>IF(D162="","",IFERROR(INDEX('Entrada de Dados'!$B$6:$B$196,MATCH(D162,'Entrada de Dados'!$A$6:$A$196,0)),"CÓDIGO INVÁLIDO"))</f>
        <v/>
      </c>
      <c r="F162" s="373" t="n"/>
      <c r="G162" s="375" t="n"/>
      <c r="H162" s="375" t="n"/>
      <c r="I162" s="376">
        <f>IF(G162="",0,MAX(G162-H162,0))</f>
        <v/>
      </c>
      <c r="J162" s="380" t="n"/>
      <c r="K162" s="162">
        <f>IF(AND(A162="",D162="",G162="",H162=""),"",IF(AND(OR(A162&lt;&gt;"",D162&lt;&gt;""),G162=""),"⏳ PENDENTE (falta qtd. apresentada)",IF(AND(G162&lt;&gt;"",OR(A162="",D162="")),"❌ FALTA Nº RECEBIMENTO/ESCOLA",IF(B162="Nº INVÁLIDO","❌ Nº DE RECEBIMENTO INVÁLIDO",IF(E162="CÓDIGO INVÁLIDO","❌ CÓDIGO DE ESCOLA INVÁLIDO",IF(H162&gt;G162,"❌ REJEITADO MAIOR QUE APRESENTADO",IF(AND(A162&lt;&gt;"",SUMIF($A$60:$A$559,A162,$G$60:$G$559)&gt;INDEX($G$7:$G$56,MATCH(A162,$A$7:$A$56,0))+0.01),"❌ DISTRIBUÍDO MAIS QUE O ACEITO NESSE RECEBIMENTO","OK")))))))</f>
        <v/>
      </c>
      <c r="L162" s="389">
        <f>IF(A162="","",ROW()-59)</f>
        <v/>
      </c>
    </row>
    <row r="163" hidden="1" outlineLevel="1" s="163">
      <c r="A163" s="380" t="n"/>
      <c r="B163" s="372">
        <f>IF(A163="","",IFERROR(INDEX($C$7:$C$56,MATCH(A163,$A$7:$A$56,0)),"Nº INVÁLIDO"))</f>
        <v/>
      </c>
      <c r="C163" s="372">
        <f>IF(A163="","",IFERROR(INDEX($D$7:$D$56,MATCH(A163,$A$7:$A$56,0)),"Nº INVÁLIDO"))</f>
        <v/>
      </c>
      <c r="D163" s="380" t="n"/>
      <c r="E163" s="381">
        <f>IF(D163="","",IFERROR(INDEX('Entrada de Dados'!$B$6:$B$196,MATCH(D163,'Entrada de Dados'!$A$6:$A$196,0)),"CÓDIGO INVÁLIDO"))</f>
        <v/>
      </c>
      <c r="F163" s="373" t="n"/>
      <c r="G163" s="375" t="n"/>
      <c r="H163" s="375" t="n"/>
      <c r="I163" s="376">
        <f>IF(G163="",0,MAX(G163-H163,0))</f>
        <v/>
      </c>
      <c r="J163" s="380" t="n"/>
      <c r="K163" s="162">
        <f>IF(AND(A163="",D163="",G163="",H163=""),"",IF(AND(OR(A163&lt;&gt;"",D163&lt;&gt;""),G163=""),"⏳ PENDENTE (falta qtd. apresentada)",IF(AND(G163&lt;&gt;"",OR(A163="",D163="")),"❌ FALTA Nº RECEBIMENTO/ESCOLA",IF(B163="Nº INVÁLIDO","❌ Nº DE RECEBIMENTO INVÁLIDO",IF(E163="CÓDIGO INVÁLIDO","❌ CÓDIGO DE ESCOLA INVÁLIDO",IF(H163&gt;G163,"❌ REJEITADO MAIOR QUE APRESENTADO",IF(AND(A163&lt;&gt;"",SUMIF($A$60:$A$559,A163,$G$60:$G$559)&gt;INDEX($G$7:$G$56,MATCH(A163,$A$7:$A$56,0))+0.01),"❌ DISTRIBUÍDO MAIS QUE O ACEITO NESSE RECEBIMENTO","OK")))))))</f>
        <v/>
      </c>
      <c r="L163" s="389">
        <f>IF(A163="","",ROW()-59)</f>
        <v/>
      </c>
    </row>
    <row r="164" hidden="1" outlineLevel="1" s="163">
      <c r="A164" s="380" t="n"/>
      <c r="B164" s="372">
        <f>IF(A164="","",IFERROR(INDEX($C$7:$C$56,MATCH(A164,$A$7:$A$56,0)),"Nº INVÁLIDO"))</f>
        <v/>
      </c>
      <c r="C164" s="372">
        <f>IF(A164="","",IFERROR(INDEX($D$7:$D$56,MATCH(A164,$A$7:$A$56,0)),"Nº INVÁLIDO"))</f>
        <v/>
      </c>
      <c r="D164" s="380" t="n"/>
      <c r="E164" s="381">
        <f>IF(D164="","",IFERROR(INDEX('Entrada de Dados'!$B$6:$B$196,MATCH(D164,'Entrada de Dados'!$A$6:$A$196,0)),"CÓDIGO INVÁLIDO"))</f>
        <v/>
      </c>
      <c r="F164" s="373" t="n"/>
      <c r="G164" s="375" t="n"/>
      <c r="H164" s="375" t="n"/>
      <c r="I164" s="376">
        <f>IF(G164="",0,MAX(G164-H164,0))</f>
        <v/>
      </c>
      <c r="J164" s="380" t="n"/>
      <c r="K164" s="162">
        <f>IF(AND(A164="",D164="",G164="",H164=""),"",IF(AND(OR(A164&lt;&gt;"",D164&lt;&gt;""),G164=""),"⏳ PENDENTE (falta qtd. apresentada)",IF(AND(G164&lt;&gt;"",OR(A164="",D164="")),"❌ FALTA Nº RECEBIMENTO/ESCOLA",IF(B164="Nº INVÁLIDO","❌ Nº DE RECEBIMENTO INVÁLIDO",IF(E164="CÓDIGO INVÁLIDO","❌ CÓDIGO DE ESCOLA INVÁLIDO",IF(H164&gt;G164,"❌ REJEITADO MAIOR QUE APRESENTADO",IF(AND(A164&lt;&gt;"",SUMIF($A$60:$A$559,A164,$G$60:$G$559)&gt;INDEX($G$7:$G$56,MATCH(A164,$A$7:$A$56,0))+0.01),"❌ DISTRIBUÍDO MAIS QUE O ACEITO NESSE RECEBIMENTO","OK")))))))</f>
        <v/>
      </c>
      <c r="L164" s="389">
        <f>IF(A164="","",ROW()-59)</f>
        <v/>
      </c>
    </row>
    <row r="165" hidden="1" outlineLevel="1" s="163">
      <c r="A165" s="380" t="n"/>
      <c r="B165" s="372">
        <f>IF(A165="","",IFERROR(INDEX($C$7:$C$56,MATCH(A165,$A$7:$A$56,0)),"Nº INVÁLIDO"))</f>
        <v/>
      </c>
      <c r="C165" s="372">
        <f>IF(A165="","",IFERROR(INDEX($D$7:$D$56,MATCH(A165,$A$7:$A$56,0)),"Nº INVÁLIDO"))</f>
        <v/>
      </c>
      <c r="D165" s="380" t="n"/>
      <c r="E165" s="381">
        <f>IF(D165="","",IFERROR(INDEX('Entrada de Dados'!$B$6:$B$196,MATCH(D165,'Entrada de Dados'!$A$6:$A$196,0)),"CÓDIGO INVÁLIDO"))</f>
        <v/>
      </c>
      <c r="F165" s="373" t="n"/>
      <c r="G165" s="375" t="n"/>
      <c r="H165" s="375" t="n"/>
      <c r="I165" s="376">
        <f>IF(G165="",0,MAX(G165-H165,0))</f>
        <v/>
      </c>
      <c r="J165" s="380" t="n"/>
      <c r="K165" s="162">
        <f>IF(AND(A165="",D165="",G165="",H165=""),"",IF(AND(OR(A165&lt;&gt;"",D165&lt;&gt;""),G165=""),"⏳ PENDENTE (falta qtd. apresentada)",IF(AND(G165&lt;&gt;"",OR(A165="",D165="")),"❌ FALTA Nº RECEBIMENTO/ESCOLA",IF(B165="Nº INVÁLIDO","❌ Nº DE RECEBIMENTO INVÁLIDO",IF(E165="CÓDIGO INVÁLIDO","❌ CÓDIGO DE ESCOLA INVÁLIDO",IF(H165&gt;G165,"❌ REJEITADO MAIOR QUE APRESENTADO",IF(AND(A165&lt;&gt;"",SUMIF($A$60:$A$559,A165,$G$60:$G$559)&gt;INDEX($G$7:$G$56,MATCH(A165,$A$7:$A$56,0))+0.01),"❌ DISTRIBUÍDO MAIS QUE O ACEITO NESSE RECEBIMENTO","OK")))))))</f>
        <v/>
      </c>
      <c r="L165" s="389">
        <f>IF(A165="","",ROW()-59)</f>
        <v/>
      </c>
    </row>
    <row r="166" hidden="1" outlineLevel="1" s="163">
      <c r="A166" s="380" t="n"/>
      <c r="B166" s="372">
        <f>IF(A166="","",IFERROR(INDEX($C$7:$C$56,MATCH(A166,$A$7:$A$56,0)),"Nº INVÁLIDO"))</f>
        <v/>
      </c>
      <c r="C166" s="372">
        <f>IF(A166="","",IFERROR(INDEX($D$7:$D$56,MATCH(A166,$A$7:$A$56,0)),"Nº INVÁLIDO"))</f>
        <v/>
      </c>
      <c r="D166" s="380" t="n"/>
      <c r="E166" s="381">
        <f>IF(D166="","",IFERROR(INDEX('Entrada de Dados'!$B$6:$B$196,MATCH(D166,'Entrada de Dados'!$A$6:$A$196,0)),"CÓDIGO INVÁLIDO"))</f>
        <v/>
      </c>
      <c r="F166" s="373" t="n"/>
      <c r="G166" s="375" t="n"/>
      <c r="H166" s="375" t="n"/>
      <c r="I166" s="376">
        <f>IF(G166="",0,MAX(G166-H166,0))</f>
        <v/>
      </c>
      <c r="J166" s="380" t="n"/>
      <c r="K166" s="162">
        <f>IF(AND(A166="",D166="",G166="",H166=""),"",IF(AND(OR(A166&lt;&gt;"",D166&lt;&gt;""),G166=""),"⏳ PENDENTE (falta qtd. apresentada)",IF(AND(G166&lt;&gt;"",OR(A166="",D166="")),"❌ FALTA Nº RECEBIMENTO/ESCOLA",IF(B166="Nº INVÁLIDO","❌ Nº DE RECEBIMENTO INVÁLIDO",IF(E166="CÓDIGO INVÁLIDO","❌ CÓDIGO DE ESCOLA INVÁLIDO",IF(H166&gt;G166,"❌ REJEITADO MAIOR QUE APRESENTADO",IF(AND(A166&lt;&gt;"",SUMIF($A$60:$A$559,A166,$G$60:$G$559)&gt;INDEX($G$7:$G$56,MATCH(A166,$A$7:$A$56,0))+0.01),"❌ DISTRIBUÍDO MAIS QUE O ACEITO NESSE RECEBIMENTO","OK")))))))</f>
        <v/>
      </c>
      <c r="L166" s="389">
        <f>IF(A166="","",ROW()-59)</f>
        <v/>
      </c>
    </row>
    <row r="167" hidden="1" outlineLevel="1" s="163">
      <c r="A167" s="380" t="n"/>
      <c r="B167" s="372">
        <f>IF(A167="","",IFERROR(INDEX($C$7:$C$56,MATCH(A167,$A$7:$A$56,0)),"Nº INVÁLIDO"))</f>
        <v/>
      </c>
      <c r="C167" s="372">
        <f>IF(A167="","",IFERROR(INDEX($D$7:$D$56,MATCH(A167,$A$7:$A$56,0)),"Nº INVÁLIDO"))</f>
        <v/>
      </c>
      <c r="D167" s="380" t="n"/>
      <c r="E167" s="381">
        <f>IF(D167="","",IFERROR(INDEX('Entrada de Dados'!$B$6:$B$196,MATCH(D167,'Entrada de Dados'!$A$6:$A$196,0)),"CÓDIGO INVÁLIDO"))</f>
        <v/>
      </c>
      <c r="F167" s="373" t="n"/>
      <c r="G167" s="375" t="n"/>
      <c r="H167" s="375" t="n"/>
      <c r="I167" s="376">
        <f>IF(G167="",0,MAX(G167-H167,0))</f>
        <v/>
      </c>
      <c r="J167" s="380" t="n"/>
      <c r="K167" s="162">
        <f>IF(AND(A167="",D167="",G167="",H167=""),"",IF(AND(OR(A167&lt;&gt;"",D167&lt;&gt;""),G167=""),"⏳ PENDENTE (falta qtd. apresentada)",IF(AND(G167&lt;&gt;"",OR(A167="",D167="")),"❌ FALTA Nº RECEBIMENTO/ESCOLA",IF(B167="Nº INVÁLIDO","❌ Nº DE RECEBIMENTO INVÁLIDO",IF(E167="CÓDIGO INVÁLIDO","❌ CÓDIGO DE ESCOLA INVÁLIDO",IF(H167&gt;G167,"❌ REJEITADO MAIOR QUE APRESENTADO",IF(AND(A167&lt;&gt;"",SUMIF($A$60:$A$559,A167,$G$60:$G$559)&gt;INDEX($G$7:$G$56,MATCH(A167,$A$7:$A$56,0))+0.01),"❌ DISTRIBUÍDO MAIS QUE O ACEITO NESSE RECEBIMENTO","OK")))))))</f>
        <v/>
      </c>
      <c r="L167" s="389">
        <f>IF(A167="","",ROW()-59)</f>
        <v/>
      </c>
    </row>
    <row r="168" hidden="1" outlineLevel="1" s="163">
      <c r="A168" s="380" t="n"/>
      <c r="B168" s="372">
        <f>IF(A168="","",IFERROR(INDEX($C$7:$C$56,MATCH(A168,$A$7:$A$56,0)),"Nº INVÁLIDO"))</f>
        <v/>
      </c>
      <c r="C168" s="372">
        <f>IF(A168="","",IFERROR(INDEX($D$7:$D$56,MATCH(A168,$A$7:$A$56,0)),"Nº INVÁLIDO"))</f>
        <v/>
      </c>
      <c r="D168" s="380" t="n"/>
      <c r="E168" s="381">
        <f>IF(D168="","",IFERROR(INDEX('Entrada de Dados'!$B$6:$B$196,MATCH(D168,'Entrada de Dados'!$A$6:$A$196,0)),"CÓDIGO INVÁLIDO"))</f>
        <v/>
      </c>
      <c r="F168" s="373" t="n"/>
      <c r="G168" s="375" t="n"/>
      <c r="H168" s="375" t="n"/>
      <c r="I168" s="376">
        <f>IF(G168="",0,MAX(G168-H168,0))</f>
        <v/>
      </c>
      <c r="J168" s="380" t="n"/>
      <c r="K168" s="162">
        <f>IF(AND(A168="",D168="",G168="",H168=""),"",IF(AND(OR(A168&lt;&gt;"",D168&lt;&gt;""),G168=""),"⏳ PENDENTE (falta qtd. apresentada)",IF(AND(G168&lt;&gt;"",OR(A168="",D168="")),"❌ FALTA Nº RECEBIMENTO/ESCOLA",IF(B168="Nº INVÁLIDO","❌ Nº DE RECEBIMENTO INVÁLIDO",IF(E168="CÓDIGO INVÁLIDO","❌ CÓDIGO DE ESCOLA INVÁLIDO",IF(H168&gt;G168,"❌ REJEITADO MAIOR QUE APRESENTADO",IF(AND(A168&lt;&gt;"",SUMIF($A$60:$A$559,A168,$G$60:$G$559)&gt;INDEX($G$7:$G$56,MATCH(A168,$A$7:$A$56,0))+0.01),"❌ DISTRIBUÍDO MAIS QUE O ACEITO NESSE RECEBIMENTO","OK")))))))</f>
        <v/>
      </c>
      <c r="L168" s="389">
        <f>IF(A168="","",ROW()-59)</f>
        <v/>
      </c>
    </row>
    <row r="169" hidden="1" outlineLevel="1" s="163">
      <c r="A169" s="380" t="n"/>
      <c r="B169" s="372">
        <f>IF(A169="","",IFERROR(INDEX($C$7:$C$56,MATCH(A169,$A$7:$A$56,0)),"Nº INVÁLIDO"))</f>
        <v/>
      </c>
      <c r="C169" s="372">
        <f>IF(A169="","",IFERROR(INDEX($D$7:$D$56,MATCH(A169,$A$7:$A$56,0)),"Nº INVÁLIDO"))</f>
        <v/>
      </c>
      <c r="D169" s="380" t="n"/>
      <c r="E169" s="381">
        <f>IF(D169="","",IFERROR(INDEX('Entrada de Dados'!$B$6:$B$196,MATCH(D169,'Entrada de Dados'!$A$6:$A$196,0)),"CÓDIGO INVÁLIDO"))</f>
        <v/>
      </c>
      <c r="F169" s="373" t="n"/>
      <c r="G169" s="375" t="n"/>
      <c r="H169" s="375" t="n"/>
      <c r="I169" s="376">
        <f>IF(G169="",0,MAX(G169-H169,0))</f>
        <v/>
      </c>
      <c r="J169" s="380" t="n"/>
      <c r="K169" s="162">
        <f>IF(AND(A169="",D169="",G169="",H169=""),"",IF(AND(OR(A169&lt;&gt;"",D169&lt;&gt;""),G169=""),"⏳ PENDENTE (falta qtd. apresentada)",IF(AND(G169&lt;&gt;"",OR(A169="",D169="")),"❌ FALTA Nº RECEBIMENTO/ESCOLA",IF(B169="Nº INVÁLIDO","❌ Nº DE RECEBIMENTO INVÁLIDO",IF(E169="CÓDIGO INVÁLIDO","❌ CÓDIGO DE ESCOLA INVÁLIDO",IF(H169&gt;G169,"❌ REJEITADO MAIOR QUE APRESENTADO",IF(AND(A169&lt;&gt;"",SUMIF($A$60:$A$559,A169,$G$60:$G$559)&gt;INDEX($G$7:$G$56,MATCH(A169,$A$7:$A$56,0))+0.01),"❌ DISTRIBUÍDO MAIS QUE O ACEITO NESSE RECEBIMENTO","OK")))))))</f>
        <v/>
      </c>
      <c r="L169" s="389">
        <f>IF(A169="","",ROW()-59)</f>
        <v/>
      </c>
    </row>
    <row r="170" hidden="1" outlineLevel="1" s="163">
      <c r="A170" s="380" t="n"/>
      <c r="B170" s="372">
        <f>IF(A170="","",IFERROR(INDEX($C$7:$C$56,MATCH(A170,$A$7:$A$56,0)),"Nº INVÁLIDO"))</f>
        <v/>
      </c>
      <c r="C170" s="372">
        <f>IF(A170="","",IFERROR(INDEX($D$7:$D$56,MATCH(A170,$A$7:$A$56,0)),"Nº INVÁLIDO"))</f>
        <v/>
      </c>
      <c r="D170" s="380" t="n"/>
      <c r="E170" s="381">
        <f>IF(D170="","",IFERROR(INDEX('Entrada de Dados'!$B$6:$B$196,MATCH(D170,'Entrada de Dados'!$A$6:$A$196,0)),"CÓDIGO INVÁLIDO"))</f>
        <v/>
      </c>
      <c r="F170" s="373" t="n"/>
      <c r="G170" s="375" t="n"/>
      <c r="H170" s="375" t="n"/>
      <c r="I170" s="376">
        <f>IF(G170="",0,MAX(G170-H170,0))</f>
        <v/>
      </c>
      <c r="J170" s="380" t="n"/>
      <c r="K170" s="162">
        <f>IF(AND(A170="",D170="",G170="",H170=""),"",IF(AND(OR(A170&lt;&gt;"",D170&lt;&gt;""),G170=""),"⏳ PENDENTE (falta qtd. apresentada)",IF(AND(G170&lt;&gt;"",OR(A170="",D170="")),"❌ FALTA Nº RECEBIMENTO/ESCOLA",IF(B170="Nº INVÁLIDO","❌ Nº DE RECEBIMENTO INVÁLIDO",IF(E170="CÓDIGO INVÁLIDO","❌ CÓDIGO DE ESCOLA INVÁLIDO",IF(H170&gt;G170,"❌ REJEITADO MAIOR QUE APRESENTADO",IF(AND(A170&lt;&gt;"",SUMIF($A$60:$A$559,A170,$G$60:$G$559)&gt;INDEX($G$7:$G$56,MATCH(A170,$A$7:$A$56,0))+0.01),"❌ DISTRIBUÍDO MAIS QUE O ACEITO NESSE RECEBIMENTO","OK")))))))</f>
        <v/>
      </c>
      <c r="L170" s="389">
        <f>IF(A170="","",ROW()-59)</f>
        <v/>
      </c>
    </row>
    <row r="171" hidden="1" outlineLevel="1" s="163">
      <c r="A171" s="380" t="n"/>
      <c r="B171" s="372">
        <f>IF(A171="","",IFERROR(INDEX($C$7:$C$56,MATCH(A171,$A$7:$A$56,0)),"Nº INVÁLIDO"))</f>
        <v/>
      </c>
      <c r="C171" s="372">
        <f>IF(A171="","",IFERROR(INDEX($D$7:$D$56,MATCH(A171,$A$7:$A$56,0)),"Nº INVÁLIDO"))</f>
        <v/>
      </c>
      <c r="D171" s="380" t="n"/>
      <c r="E171" s="381">
        <f>IF(D171="","",IFERROR(INDEX('Entrada de Dados'!$B$6:$B$196,MATCH(D171,'Entrada de Dados'!$A$6:$A$196,0)),"CÓDIGO INVÁLIDO"))</f>
        <v/>
      </c>
      <c r="F171" s="373" t="n"/>
      <c r="G171" s="375" t="n"/>
      <c r="H171" s="375" t="n"/>
      <c r="I171" s="376">
        <f>IF(G171="",0,MAX(G171-H171,0))</f>
        <v/>
      </c>
      <c r="J171" s="380" t="n"/>
      <c r="K171" s="162">
        <f>IF(AND(A171="",D171="",G171="",H171=""),"",IF(AND(OR(A171&lt;&gt;"",D171&lt;&gt;""),G171=""),"⏳ PENDENTE (falta qtd. apresentada)",IF(AND(G171&lt;&gt;"",OR(A171="",D171="")),"❌ FALTA Nº RECEBIMENTO/ESCOLA",IF(B171="Nº INVÁLIDO","❌ Nº DE RECEBIMENTO INVÁLIDO",IF(E171="CÓDIGO INVÁLIDO","❌ CÓDIGO DE ESCOLA INVÁLIDO",IF(H171&gt;G171,"❌ REJEITADO MAIOR QUE APRESENTADO",IF(AND(A171&lt;&gt;"",SUMIF($A$60:$A$559,A171,$G$60:$G$559)&gt;INDEX($G$7:$G$56,MATCH(A171,$A$7:$A$56,0))+0.01),"❌ DISTRIBUÍDO MAIS QUE O ACEITO NESSE RECEBIMENTO","OK")))))))</f>
        <v/>
      </c>
      <c r="L171" s="389">
        <f>IF(A171="","",ROW()-59)</f>
        <v/>
      </c>
    </row>
    <row r="172" hidden="1" outlineLevel="1" s="163">
      <c r="A172" s="380" t="n"/>
      <c r="B172" s="372">
        <f>IF(A172="","",IFERROR(INDEX($C$7:$C$56,MATCH(A172,$A$7:$A$56,0)),"Nº INVÁLIDO"))</f>
        <v/>
      </c>
      <c r="C172" s="372">
        <f>IF(A172="","",IFERROR(INDEX($D$7:$D$56,MATCH(A172,$A$7:$A$56,0)),"Nº INVÁLIDO"))</f>
        <v/>
      </c>
      <c r="D172" s="380" t="n"/>
      <c r="E172" s="381">
        <f>IF(D172="","",IFERROR(INDEX('Entrada de Dados'!$B$6:$B$196,MATCH(D172,'Entrada de Dados'!$A$6:$A$196,0)),"CÓDIGO INVÁLIDO"))</f>
        <v/>
      </c>
      <c r="F172" s="373" t="n"/>
      <c r="G172" s="375" t="n"/>
      <c r="H172" s="375" t="n"/>
      <c r="I172" s="376">
        <f>IF(G172="",0,MAX(G172-H172,0))</f>
        <v/>
      </c>
      <c r="J172" s="380" t="n"/>
      <c r="K172" s="162">
        <f>IF(AND(A172="",D172="",G172="",H172=""),"",IF(AND(OR(A172&lt;&gt;"",D172&lt;&gt;""),G172=""),"⏳ PENDENTE (falta qtd. apresentada)",IF(AND(G172&lt;&gt;"",OR(A172="",D172="")),"❌ FALTA Nº RECEBIMENTO/ESCOLA",IF(B172="Nº INVÁLIDO","❌ Nº DE RECEBIMENTO INVÁLIDO",IF(E172="CÓDIGO INVÁLIDO","❌ CÓDIGO DE ESCOLA INVÁLIDO",IF(H172&gt;G172,"❌ REJEITADO MAIOR QUE APRESENTADO",IF(AND(A172&lt;&gt;"",SUMIF($A$60:$A$559,A172,$G$60:$G$559)&gt;INDEX($G$7:$G$56,MATCH(A172,$A$7:$A$56,0))+0.01),"❌ DISTRIBUÍDO MAIS QUE O ACEITO NESSE RECEBIMENTO","OK")))))))</f>
        <v/>
      </c>
      <c r="L172" s="389">
        <f>IF(A172="","",ROW()-59)</f>
        <v/>
      </c>
    </row>
    <row r="173" hidden="1" outlineLevel="1" s="163">
      <c r="A173" s="380" t="n"/>
      <c r="B173" s="372">
        <f>IF(A173="","",IFERROR(INDEX($C$7:$C$56,MATCH(A173,$A$7:$A$56,0)),"Nº INVÁLIDO"))</f>
        <v/>
      </c>
      <c r="C173" s="372">
        <f>IF(A173="","",IFERROR(INDEX($D$7:$D$56,MATCH(A173,$A$7:$A$56,0)),"Nº INVÁLIDO"))</f>
        <v/>
      </c>
      <c r="D173" s="380" t="n"/>
      <c r="E173" s="381">
        <f>IF(D173="","",IFERROR(INDEX('Entrada de Dados'!$B$6:$B$196,MATCH(D173,'Entrada de Dados'!$A$6:$A$196,0)),"CÓDIGO INVÁLIDO"))</f>
        <v/>
      </c>
      <c r="F173" s="373" t="n"/>
      <c r="G173" s="375" t="n"/>
      <c r="H173" s="375" t="n"/>
      <c r="I173" s="376">
        <f>IF(G173="",0,MAX(G173-H173,0))</f>
        <v/>
      </c>
      <c r="J173" s="380" t="n"/>
      <c r="K173" s="162">
        <f>IF(AND(A173="",D173="",G173="",H173=""),"",IF(AND(OR(A173&lt;&gt;"",D173&lt;&gt;""),G173=""),"⏳ PENDENTE (falta qtd. apresentada)",IF(AND(G173&lt;&gt;"",OR(A173="",D173="")),"❌ FALTA Nº RECEBIMENTO/ESCOLA",IF(B173="Nº INVÁLIDO","❌ Nº DE RECEBIMENTO INVÁLIDO",IF(E173="CÓDIGO INVÁLIDO","❌ CÓDIGO DE ESCOLA INVÁLIDO",IF(H173&gt;G173,"❌ REJEITADO MAIOR QUE APRESENTADO",IF(AND(A173&lt;&gt;"",SUMIF($A$60:$A$559,A173,$G$60:$G$559)&gt;INDEX($G$7:$G$56,MATCH(A173,$A$7:$A$56,0))+0.01),"❌ DISTRIBUÍDO MAIS QUE O ACEITO NESSE RECEBIMENTO","OK")))))))</f>
        <v/>
      </c>
      <c r="L173" s="389">
        <f>IF(A173="","",ROW()-59)</f>
        <v/>
      </c>
    </row>
    <row r="174" hidden="1" outlineLevel="1" s="163">
      <c r="A174" s="380" t="n"/>
      <c r="B174" s="372">
        <f>IF(A174="","",IFERROR(INDEX($C$7:$C$56,MATCH(A174,$A$7:$A$56,0)),"Nº INVÁLIDO"))</f>
        <v/>
      </c>
      <c r="C174" s="372">
        <f>IF(A174="","",IFERROR(INDEX($D$7:$D$56,MATCH(A174,$A$7:$A$56,0)),"Nº INVÁLIDO"))</f>
        <v/>
      </c>
      <c r="D174" s="380" t="n"/>
      <c r="E174" s="381">
        <f>IF(D174="","",IFERROR(INDEX('Entrada de Dados'!$B$6:$B$196,MATCH(D174,'Entrada de Dados'!$A$6:$A$196,0)),"CÓDIGO INVÁLIDO"))</f>
        <v/>
      </c>
      <c r="F174" s="373" t="n"/>
      <c r="G174" s="375" t="n"/>
      <c r="H174" s="375" t="n"/>
      <c r="I174" s="376">
        <f>IF(G174="",0,MAX(G174-H174,0))</f>
        <v/>
      </c>
      <c r="J174" s="380" t="n"/>
      <c r="K174" s="162">
        <f>IF(AND(A174="",D174="",G174="",H174=""),"",IF(AND(OR(A174&lt;&gt;"",D174&lt;&gt;""),G174=""),"⏳ PENDENTE (falta qtd. apresentada)",IF(AND(G174&lt;&gt;"",OR(A174="",D174="")),"❌ FALTA Nº RECEBIMENTO/ESCOLA",IF(B174="Nº INVÁLIDO","❌ Nº DE RECEBIMENTO INVÁLIDO",IF(E174="CÓDIGO INVÁLIDO","❌ CÓDIGO DE ESCOLA INVÁLIDO",IF(H174&gt;G174,"❌ REJEITADO MAIOR QUE APRESENTADO",IF(AND(A174&lt;&gt;"",SUMIF($A$60:$A$559,A174,$G$60:$G$559)&gt;INDEX($G$7:$G$56,MATCH(A174,$A$7:$A$56,0))+0.01),"❌ DISTRIBUÍDO MAIS QUE O ACEITO NESSE RECEBIMENTO","OK")))))))</f>
        <v/>
      </c>
      <c r="L174" s="389">
        <f>IF(A174="","",ROW()-59)</f>
        <v/>
      </c>
    </row>
    <row r="175" hidden="1" outlineLevel="1" s="163">
      <c r="A175" s="380" t="n"/>
      <c r="B175" s="372">
        <f>IF(A175="","",IFERROR(INDEX($C$7:$C$56,MATCH(A175,$A$7:$A$56,0)),"Nº INVÁLIDO"))</f>
        <v/>
      </c>
      <c r="C175" s="372">
        <f>IF(A175="","",IFERROR(INDEX($D$7:$D$56,MATCH(A175,$A$7:$A$56,0)),"Nº INVÁLIDO"))</f>
        <v/>
      </c>
      <c r="D175" s="380" t="n"/>
      <c r="E175" s="381">
        <f>IF(D175="","",IFERROR(INDEX('Entrada de Dados'!$B$6:$B$196,MATCH(D175,'Entrada de Dados'!$A$6:$A$196,0)),"CÓDIGO INVÁLIDO"))</f>
        <v/>
      </c>
      <c r="F175" s="373" t="n"/>
      <c r="G175" s="375" t="n"/>
      <c r="H175" s="375" t="n"/>
      <c r="I175" s="376">
        <f>IF(G175="",0,MAX(G175-H175,0))</f>
        <v/>
      </c>
      <c r="J175" s="380" t="n"/>
      <c r="K175" s="162">
        <f>IF(AND(A175="",D175="",G175="",H175=""),"",IF(AND(OR(A175&lt;&gt;"",D175&lt;&gt;""),G175=""),"⏳ PENDENTE (falta qtd. apresentada)",IF(AND(G175&lt;&gt;"",OR(A175="",D175="")),"❌ FALTA Nº RECEBIMENTO/ESCOLA",IF(B175="Nº INVÁLIDO","❌ Nº DE RECEBIMENTO INVÁLIDO",IF(E175="CÓDIGO INVÁLIDO","❌ CÓDIGO DE ESCOLA INVÁLIDO",IF(H175&gt;G175,"❌ REJEITADO MAIOR QUE APRESENTADO",IF(AND(A175&lt;&gt;"",SUMIF($A$60:$A$559,A175,$G$60:$G$559)&gt;INDEX($G$7:$G$56,MATCH(A175,$A$7:$A$56,0))+0.01),"❌ DISTRIBUÍDO MAIS QUE O ACEITO NESSE RECEBIMENTO","OK")))))))</f>
        <v/>
      </c>
      <c r="L175" s="389">
        <f>IF(A175="","",ROW()-59)</f>
        <v/>
      </c>
    </row>
    <row r="176" hidden="1" outlineLevel="1" s="163">
      <c r="A176" s="380" t="n"/>
      <c r="B176" s="372">
        <f>IF(A176="","",IFERROR(INDEX($C$7:$C$56,MATCH(A176,$A$7:$A$56,0)),"Nº INVÁLIDO"))</f>
        <v/>
      </c>
      <c r="C176" s="372">
        <f>IF(A176="","",IFERROR(INDEX($D$7:$D$56,MATCH(A176,$A$7:$A$56,0)),"Nº INVÁLIDO"))</f>
        <v/>
      </c>
      <c r="D176" s="380" t="n"/>
      <c r="E176" s="381">
        <f>IF(D176="","",IFERROR(INDEX('Entrada de Dados'!$B$6:$B$196,MATCH(D176,'Entrada de Dados'!$A$6:$A$196,0)),"CÓDIGO INVÁLIDO"))</f>
        <v/>
      </c>
      <c r="F176" s="373" t="n"/>
      <c r="G176" s="375" t="n"/>
      <c r="H176" s="375" t="n"/>
      <c r="I176" s="376">
        <f>IF(G176="",0,MAX(G176-H176,0))</f>
        <v/>
      </c>
      <c r="J176" s="380" t="n"/>
      <c r="K176" s="162">
        <f>IF(AND(A176="",D176="",G176="",H176=""),"",IF(AND(OR(A176&lt;&gt;"",D176&lt;&gt;""),G176=""),"⏳ PENDENTE (falta qtd. apresentada)",IF(AND(G176&lt;&gt;"",OR(A176="",D176="")),"❌ FALTA Nº RECEBIMENTO/ESCOLA",IF(B176="Nº INVÁLIDO","❌ Nº DE RECEBIMENTO INVÁLIDO",IF(E176="CÓDIGO INVÁLIDO","❌ CÓDIGO DE ESCOLA INVÁLIDO",IF(H176&gt;G176,"❌ REJEITADO MAIOR QUE APRESENTADO",IF(AND(A176&lt;&gt;"",SUMIF($A$60:$A$559,A176,$G$60:$G$559)&gt;INDEX($G$7:$G$56,MATCH(A176,$A$7:$A$56,0))+0.01),"❌ DISTRIBUÍDO MAIS QUE O ACEITO NESSE RECEBIMENTO","OK")))))))</f>
        <v/>
      </c>
      <c r="L176" s="389">
        <f>IF(A176="","",ROW()-59)</f>
        <v/>
      </c>
    </row>
    <row r="177" hidden="1" outlineLevel="1" s="163">
      <c r="A177" s="380" t="n"/>
      <c r="B177" s="372">
        <f>IF(A177="","",IFERROR(INDEX($C$7:$C$56,MATCH(A177,$A$7:$A$56,0)),"Nº INVÁLIDO"))</f>
        <v/>
      </c>
      <c r="C177" s="372">
        <f>IF(A177="","",IFERROR(INDEX($D$7:$D$56,MATCH(A177,$A$7:$A$56,0)),"Nº INVÁLIDO"))</f>
        <v/>
      </c>
      <c r="D177" s="380" t="n"/>
      <c r="E177" s="381">
        <f>IF(D177="","",IFERROR(INDEX('Entrada de Dados'!$B$6:$B$196,MATCH(D177,'Entrada de Dados'!$A$6:$A$196,0)),"CÓDIGO INVÁLIDO"))</f>
        <v/>
      </c>
      <c r="F177" s="373" t="n"/>
      <c r="G177" s="375" t="n"/>
      <c r="H177" s="375" t="n"/>
      <c r="I177" s="376">
        <f>IF(G177="",0,MAX(G177-H177,0))</f>
        <v/>
      </c>
      <c r="J177" s="380" t="n"/>
      <c r="K177" s="162">
        <f>IF(AND(A177="",D177="",G177="",H177=""),"",IF(AND(OR(A177&lt;&gt;"",D177&lt;&gt;""),G177=""),"⏳ PENDENTE (falta qtd. apresentada)",IF(AND(G177&lt;&gt;"",OR(A177="",D177="")),"❌ FALTA Nº RECEBIMENTO/ESCOLA",IF(B177="Nº INVÁLIDO","❌ Nº DE RECEBIMENTO INVÁLIDO",IF(E177="CÓDIGO INVÁLIDO","❌ CÓDIGO DE ESCOLA INVÁLIDO",IF(H177&gt;G177,"❌ REJEITADO MAIOR QUE APRESENTADO",IF(AND(A177&lt;&gt;"",SUMIF($A$60:$A$559,A177,$G$60:$G$559)&gt;INDEX($G$7:$G$56,MATCH(A177,$A$7:$A$56,0))+0.01),"❌ DISTRIBUÍDO MAIS QUE O ACEITO NESSE RECEBIMENTO","OK")))))))</f>
        <v/>
      </c>
      <c r="L177" s="389">
        <f>IF(A177="","",ROW()-59)</f>
        <v/>
      </c>
    </row>
    <row r="178" hidden="1" outlineLevel="1" s="163">
      <c r="A178" s="380" t="n"/>
      <c r="B178" s="372">
        <f>IF(A178="","",IFERROR(INDEX($C$7:$C$56,MATCH(A178,$A$7:$A$56,0)),"Nº INVÁLIDO"))</f>
        <v/>
      </c>
      <c r="C178" s="372">
        <f>IF(A178="","",IFERROR(INDEX($D$7:$D$56,MATCH(A178,$A$7:$A$56,0)),"Nº INVÁLIDO"))</f>
        <v/>
      </c>
      <c r="D178" s="380" t="n"/>
      <c r="E178" s="381">
        <f>IF(D178="","",IFERROR(INDEX('Entrada de Dados'!$B$6:$B$196,MATCH(D178,'Entrada de Dados'!$A$6:$A$196,0)),"CÓDIGO INVÁLIDO"))</f>
        <v/>
      </c>
      <c r="F178" s="373" t="n"/>
      <c r="G178" s="375" t="n"/>
      <c r="H178" s="375" t="n"/>
      <c r="I178" s="376">
        <f>IF(G178="",0,MAX(G178-H178,0))</f>
        <v/>
      </c>
      <c r="J178" s="380" t="n"/>
      <c r="K178" s="162">
        <f>IF(AND(A178="",D178="",G178="",H178=""),"",IF(AND(OR(A178&lt;&gt;"",D178&lt;&gt;""),G178=""),"⏳ PENDENTE (falta qtd. apresentada)",IF(AND(G178&lt;&gt;"",OR(A178="",D178="")),"❌ FALTA Nº RECEBIMENTO/ESCOLA",IF(B178="Nº INVÁLIDO","❌ Nº DE RECEBIMENTO INVÁLIDO",IF(E178="CÓDIGO INVÁLIDO","❌ CÓDIGO DE ESCOLA INVÁLIDO",IF(H178&gt;G178,"❌ REJEITADO MAIOR QUE APRESENTADO",IF(AND(A178&lt;&gt;"",SUMIF($A$60:$A$559,A178,$G$60:$G$559)&gt;INDEX($G$7:$G$56,MATCH(A178,$A$7:$A$56,0))+0.01),"❌ DISTRIBUÍDO MAIS QUE O ACEITO NESSE RECEBIMENTO","OK")))))))</f>
        <v/>
      </c>
      <c r="L178" s="389">
        <f>IF(A178="","",ROW()-59)</f>
        <v/>
      </c>
    </row>
    <row r="179" hidden="1" outlineLevel="1" s="163">
      <c r="A179" s="380" t="n"/>
      <c r="B179" s="372">
        <f>IF(A179="","",IFERROR(INDEX($C$7:$C$56,MATCH(A179,$A$7:$A$56,0)),"Nº INVÁLIDO"))</f>
        <v/>
      </c>
      <c r="C179" s="372">
        <f>IF(A179="","",IFERROR(INDEX($D$7:$D$56,MATCH(A179,$A$7:$A$56,0)),"Nº INVÁLIDO"))</f>
        <v/>
      </c>
      <c r="D179" s="380" t="n"/>
      <c r="E179" s="381">
        <f>IF(D179="","",IFERROR(INDEX('Entrada de Dados'!$B$6:$B$196,MATCH(D179,'Entrada de Dados'!$A$6:$A$196,0)),"CÓDIGO INVÁLIDO"))</f>
        <v/>
      </c>
      <c r="F179" s="373" t="n"/>
      <c r="G179" s="375" t="n"/>
      <c r="H179" s="375" t="n"/>
      <c r="I179" s="376">
        <f>IF(G179="",0,MAX(G179-H179,0))</f>
        <v/>
      </c>
      <c r="J179" s="380" t="n"/>
      <c r="K179" s="162">
        <f>IF(AND(A179="",D179="",G179="",H179=""),"",IF(AND(OR(A179&lt;&gt;"",D179&lt;&gt;""),G179=""),"⏳ PENDENTE (falta qtd. apresentada)",IF(AND(G179&lt;&gt;"",OR(A179="",D179="")),"❌ FALTA Nº RECEBIMENTO/ESCOLA",IF(B179="Nº INVÁLIDO","❌ Nº DE RECEBIMENTO INVÁLIDO",IF(E179="CÓDIGO INVÁLIDO","❌ CÓDIGO DE ESCOLA INVÁLIDO",IF(H179&gt;G179,"❌ REJEITADO MAIOR QUE APRESENTADO",IF(AND(A179&lt;&gt;"",SUMIF($A$60:$A$559,A179,$G$60:$G$559)&gt;INDEX($G$7:$G$56,MATCH(A179,$A$7:$A$56,0))+0.01),"❌ DISTRIBUÍDO MAIS QUE O ACEITO NESSE RECEBIMENTO","OK")))))))</f>
        <v/>
      </c>
      <c r="L179" s="389">
        <f>IF(A179="","",ROW()-59)</f>
        <v/>
      </c>
    </row>
    <row r="180" hidden="1" outlineLevel="1" s="163">
      <c r="A180" s="380" t="n"/>
      <c r="B180" s="372">
        <f>IF(A180="","",IFERROR(INDEX($C$7:$C$56,MATCH(A180,$A$7:$A$56,0)),"Nº INVÁLIDO"))</f>
        <v/>
      </c>
      <c r="C180" s="372">
        <f>IF(A180="","",IFERROR(INDEX($D$7:$D$56,MATCH(A180,$A$7:$A$56,0)),"Nº INVÁLIDO"))</f>
        <v/>
      </c>
      <c r="D180" s="380" t="n"/>
      <c r="E180" s="381">
        <f>IF(D180="","",IFERROR(INDEX('Entrada de Dados'!$B$6:$B$196,MATCH(D180,'Entrada de Dados'!$A$6:$A$196,0)),"CÓDIGO INVÁLIDO"))</f>
        <v/>
      </c>
      <c r="F180" s="373" t="n"/>
      <c r="G180" s="375" t="n"/>
      <c r="H180" s="375" t="n"/>
      <c r="I180" s="376">
        <f>IF(G180="",0,MAX(G180-H180,0))</f>
        <v/>
      </c>
      <c r="J180" s="380" t="n"/>
      <c r="K180" s="162">
        <f>IF(AND(A180="",D180="",G180="",H180=""),"",IF(AND(OR(A180&lt;&gt;"",D180&lt;&gt;""),G180=""),"⏳ PENDENTE (falta qtd. apresentada)",IF(AND(G180&lt;&gt;"",OR(A180="",D180="")),"❌ FALTA Nº RECEBIMENTO/ESCOLA",IF(B180="Nº INVÁLIDO","❌ Nº DE RECEBIMENTO INVÁLIDO",IF(E180="CÓDIGO INVÁLIDO","❌ CÓDIGO DE ESCOLA INVÁLIDO",IF(H180&gt;G180,"❌ REJEITADO MAIOR QUE APRESENTADO",IF(AND(A180&lt;&gt;"",SUMIF($A$60:$A$559,A180,$G$60:$G$559)&gt;INDEX($G$7:$G$56,MATCH(A180,$A$7:$A$56,0))+0.01),"❌ DISTRIBUÍDO MAIS QUE O ACEITO NESSE RECEBIMENTO","OK")))))))</f>
        <v/>
      </c>
      <c r="L180" s="389">
        <f>IF(A180="","",ROW()-59)</f>
        <v/>
      </c>
    </row>
    <row r="181" hidden="1" outlineLevel="1" s="163">
      <c r="A181" s="380" t="n"/>
      <c r="B181" s="372">
        <f>IF(A181="","",IFERROR(INDEX($C$7:$C$56,MATCH(A181,$A$7:$A$56,0)),"Nº INVÁLIDO"))</f>
        <v/>
      </c>
      <c r="C181" s="372">
        <f>IF(A181="","",IFERROR(INDEX($D$7:$D$56,MATCH(A181,$A$7:$A$56,0)),"Nº INVÁLIDO"))</f>
        <v/>
      </c>
      <c r="D181" s="380" t="n"/>
      <c r="E181" s="381">
        <f>IF(D181="","",IFERROR(INDEX('Entrada de Dados'!$B$6:$B$196,MATCH(D181,'Entrada de Dados'!$A$6:$A$196,0)),"CÓDIGO INVÁLIDO"))</f>
        <v/>
      </c>
      <c r="F181" s="373" t="n"/>
      <c r="G181" s="375" t="n"/>
      <c r="H181" s="375" t="n"/>
      <c r="I181" s="376">
        <f>IF(G181="",0,MAX(G181-H181,0))</f>
        <v/>
      </c>
      <c r="J181" s="380" t="n"/>
      <c r="K181" s="162">
        <f>IF(AND(A181="",D181="",G181="",H181=""),"",IF(AND(OR(A181&lt;&gt;"",D181&lt;&gt;""),G181=""),"⏳ PENDENTE (falta qtd. apresentada)",IF(AND(G181&lt;&gt;"",OR(A181="",D181="")),"❌ FALTA Nº RECEBIMENTO/ESCOLA",IF(B181="Nº INVÁLIDO","❌ Nº DE RECEBIMENTO INVÁLIDO",IF(E181="CÓDIGO INVÁLIDO","❌ CÓDIGO DE ESCOLA INVÁLIDO",IF(H181&gt;G181,"❌ REJEITADO MAIOR QUE APRESENTADO",IF(AND(A181&lt;&gt;"",SUMIF($A$60:$A$559,A181,$G$60:$G$559)&gt;INDEX($G$7:$G$56,MATCH(A181,$A$7:$A$56,0))+0.01),"❌ DISTRIBUÍDO MAIS QUE O ACEITO NESSE RECEBIMENTO","OK")))))))</f>
        <v/>
      </c>
      <c r="L181" s="389">
        <f>IF(A181="","",ROW()-59)</f>
        <v/>
      </c>
    </row>
    <row r="182" hidden="1" outlineLevel="1" s="163">
      <c r="A182" s="380" t="n"/>
      <c r="B182" s="372">
        <f>IF(A182="","",IFERROR(INDEX($C$7:$C$56,MATCH(A182,$A$7:$A$56,0)),"Nº INVÁLIDO"))</f>
        <v/>
      </c>
      <c r="C182" s="372">
        <f>IF(A182="","",IFERROR(INDEX($D$7:$D$56,MATCH(A182,$A$7:$A$56,0)),"Nº INVÁLIDO"))</f>
        <v/>
      </c>
      <c r="D182" s="380" t="n"/>
      <c r="E182" s="381">
        <f>IF(D182="","",IFERROR(INDEX('Entrada de Dados'!$B$6:$B$196,MATCH(D182,'Entrada de Dados'!$A$6:$A$196,0)),"CÓDIGO INVÁLIDO"))</f>
        <v/>
      </c>
      <c r="F182" s="373" t="n"/>
      <c r="G182" s="375" t="n"/>
      <c r="H182" s="375" t="n"/>
      <c r="I182" s="376">
        <f>IF(G182="",0,MAX(G182-H182,0))</f>
        <v/>
      </c>
      <c r="J182" s="380" t="n"/>
      <c r="K182" s="162">
        <f>IF(AND(A182="",D182="",G182="",H182=""),"",IF(AND(OR(A182&lt;&gt;"",D182&lt;&gt;""),G182=""),"⏳ PENDENTE (falta qtd. apresentada)",IF(AND(G182&lt;&gt;"",OR(A182="",D182="")),"❌ FALTA Nº RECEBIMENTO/ESCOLA",IF(B182="Nº INVÁLIDO","❌ Nº DE RECEBIMENTO INVÁLIDO",IF(E182="CÓDIGO INVÁLIDO","❌ CÓDIGO DE ESCOLA INVÁLIDO",IF(H182&gt;G182,"❌ REJEITADO MAIOR QUE APRESENTADO",IF(AND(A182&lt;&gt;"",SUMIF($A$60:$A$559,A182,$G$60:$G$559)&gt;INDEX($G$7:$G$56,MATCH(A182,$A$7:$A$56,0))+0.01),"❌ DISTRIBUÍDO MAIS QUE O ACEITO NESSE RECEBIMENTO","OK")))))))</f>
        <v/>
      </c>
      <c r="L182" s="389">
        <f>IF(A182="","",ROW()-59)</f>
        <v/>
      </c>
    </row>
    <row r="183" hidden="1" outlineLevel="1" s="163">
      <c r="A183" s="380" t="n"/>
      <c r="B183" s="372">
        <f>IF(A183="","",IFERROR(INDEX($C$7:$C$56,MATCH(A183,$A$7:$A$56,0)),"Nº INVÁLIDO"))</f>
        <v/>
      </c>
      <c r="C183" s="372">
        <f>IF(A183="","",IFERROR(INDEX($D$7:$D$56,MATCH(A183,$A$7:$A$56,0)),"Nº INVÁLIDO"))</f>
        <v/>
      </c>
      <c r="D183" s="380" t="n"/>
      <c r="E183" s="381">
        <f>IF(D183="","",IFERROR(INDEX('Entrada de Dados'!$B$6:$B$196,MATCH(D183,'Entrada de Dados'!$A$6:$A$196,0)),"CÓDIGO INVÁLIDO"))</f>
        <v/>
      </c>
      <c r="F183" s="373" t="n"/>
      <c r="G183" s="375" t="n"/>
      <c r="H183" s="375" t="n"/>
      <c r="I183" s="376">
        <f>IF(G183="",0,MAX(G183-H183,0))</f>
        <v/>
      </c>
      <c r="J183" s="380" t="n"/>
      <c r="K183" s="162">
        <f>IF(AND(A183="",D183="",G183="",H183=""),"",IF(AND(OR(A183&lt;&gt;"",D183&lt;&gt;""),G183=""),"⏳ PENDENTE (falta qtd. apresentada)",IF(AND(G183&lt;&gt;"",OR(A183="",D183="")),"❌ FALTA Nº RECEBIMENTO/ESCOLA",IF(B183="Nº INVÁLIDO","❌ Nº DE RECEBIMENTO INVÁLIDO",IF(E183="CÓDIGO INVÁLIDO","❌ CÓDIGO DE ESCOLA INVÁLIDO",IF(H183&gt;G183,"❌ REJEITADO MAIOR QUE APRESENTADO",IF(AND(A183&lt;&gt;"",SUMIF($A$60:$A$559,A183,$G$60:$G$559)&gt;INDEX($G$7:$G$56,MATCH(A183,$A$7:$A$56,0))+0.01),"❌ DISTRIBUÍDO MAIS QUE O ACEITO NESSE RECEBIMENTO","OK")))))))</f>
        <v/>
      </c>
      <c r="L183" s="389">
        <f>IF(A183="","",ROW()-59)</f>
        <v/>
      </c>
    </row>
    <row r="184" hidden="1" outlineLevel="1" s="163">
      <c r="A184" s="380" t="n"/>
      <c r="B184" s="372">
        <f>IF(A184="","",IFERROR(INDEX($C$7:$C$56,MATCH(A184,$A$7:$A$56,0)),"Nº INVÁLIDO"))</f>
        <v/>
      </c>
      <c r="C184" s="372">
        <f>IF(A184="","",IFERROR(INDEX($D$7:$D$56,MATCH(A184,$A$7:$A$56,0)),"Nº INVÁLIDO"))</f>
        <v/>
      </c>
      <c r="D184" s="380" t="n"/>
      <c r="E184" s="381">
        <f>IF(D184="","",IFERROR(INDEX('Entrada de Dados'!$B$6:$B$196,MATCH(D184,'Entrada de Dados'!$A$6:$A$196,0)),"CÓDIGO INVÁLIDO"))</f>
        <v/>
      </c>
      <c r="F184" s="373" t="n"/>
      <c r="G184" s="375" t="n"/>
      <c r="H184" s="375" t="n"/>
      <c r="I184" s="376">
        <f>IF(G184="",0,MAX(G184-H184,0))</f>
        <v/>
      </c>
      <c r="J184" s="380" t="n"/>
      <c r="K184" s="162">
        <f>IF(AND(A184="",D184="",G184="",H184=""),"",IF(AND(OR(A184&lt;&gt;"",D184&lt;&gt;""),G184=""),"⏳ PENDENTE (falta qtd. apresentada)",IF(AND(G184&lt;&gt;"",OR(A184="",D184="")),"❌ FALTA Nº RECEBIMENTO/ESCOLA",IF(B184="Nº INVÁLIDO","❌ Nº DE RECEBIMENTO INVÁLIDO",IF(E184="CÓDIGO INVÁLIDO","❌ CÓDIGO DE ESCOLA INVÁLIDO",IF(H184&gt;G184,"❌ REJEITADO MAIOR QUE APRESENTADO",IF(AND(A184&lt;&gt;"",SUMIF($A$60:$A$559,A184,$G$60:$G$559)&gt;INDEX($G$7:$G$56,MATCH(A184,$A$7:$A$56,0))+0.01),"❌ DISTRIBUÍDO MAIS QUE O ACEITO NESSE RECEBIMENTO","OK")))))))</f>
        <v/>
      </c>
      <c r="L184" s="389">
        <f>IF(A184="","",ROW()-59)</f>
        <v/>
      </c>
    </row>
    <row r="185" hidden="1" outlineLevel="1" s="163">
      <c r="A185" s="380" t="n"/>
      <c r="B185" s="372">
        <f>IF(A185="","",IFERROR(INDEX($C$7:$C$56,MATCH(A185,$A$7:$A$56,0)),"Nº INVÁLIDO"))</f>
        <v/>
      </c>
      <c r="C185" s="372">
        <f>IF(A185="","",IFERROR(INDEX($D$7:$D$56,MATCH(A185,$A$7:$A$56,0)),"Nº INVÁLIDO"))</f>
        <v/>
      </c>
      <c r="D185" s="380" t="n"/>
      <c r="E185" s="381">
        <f>IF(D185="","",IFERROR(INDEX('Entrada de Dados'!$B$6:$B$196,MATCH(D185,'Entrada de Dados'!$A$6:$A$196,0)),"CÓDIGO INVÁLIDO"))</f>
        <v/>
      </c>
      <c r="F185" s="373" t="n"/>
      <c r="G185" s="375" t="n"/>
      <c r="H185" s="375" t="n"/>
      <c r="I185" s="376">
        <f>IF(G185="",0,MAX(G185-H185,0))</f>
        <v/>
      </c>
      <c r="J185" s="380" t="n"/>
      <c r="K185" s="162">
        <f>IF(AND(A185="",D185="",G185="",H185=""),"",IF(AND(OR(A185&lt;&gt;"",D185&lt;&gt;""),G185=""),"⏳ PENDENTE (falta qtd. apresentada)",IF(AND(G185&lt;&gt;"",OR(A185="",D185="")),"❌ FALTA Nº RECEBIMENTO/ESCOLA",IF(B185="Nº INVÁLIDO","❌ Nº DE RECEBIMENTO INVÁLIDO",IF(E185="CÓDIGO INVÁLIDO","❌ CÓDIGO DE ESCOLA INVÁLIDO",IF(H185&gt;G185,"❌ REJEITADO MAIOR QUE APRESENTADO",IF(AND(A185&lt;&gt;"",SUMIF($A$60:$A$559,A185,$G$60:$G$559)&gt;INDEX($G$7:$G$56,MATCH(A185,$A$7:$A$56,0))+0.01),"❌ DISTRIBUÍDO MAIS QUE O ACEITO NESSE RECEBIMENTO","OK")))))))</f>
        <v/>
      </c>
      <c r="L185" s="389">
        <f>IF(A185="","",ROW()-59)</f>
        <v/>
      </c>
    </row>
    <row r="186" hidden="1" outlineLevel="1" s="163">
      <c r="A186" s="380" t="n"/>
      <c r="B186" s="372">
        <f>IF(A186="","",IFERROR(INDEX($C$7:$C$56,MATCH(A186,$A$7:$A$56,0)),"Nº INVÁLIDO"))</f>
        <v/>
      </c>
      <c r="C186" s="372">
        <f>IF(A186="","",IFERROR(INDEX($D$7:$D$56,MATCH(A186,$A$7:$A$56,0)),"Nº INVÁLIDO"))</f>
        <v/>
      </c>
      <c r="D186" s="380" t="n"/>
      <c r="E186" s="381">
        <f>IF(D186="","",IFERROR(INDEX('Entrada de Dados'!$B$6:$B$196,MATCH(D186,'Entrada de Dados'!$A$6:$A$196,0)),"CÓDIGO INVÁLIDO"))</f>
        <v/>
      </c>
      <c r="F186" s="373" t="n"/>
      <c r="G186" s="375" t="n"/>
      <c r="H186" s="375" t="n"/>
      <c r="I186" s="376">
        <f>IF(G186="",0,MAX(G186-H186,0))</f>
        <v/>
      </c>
      <c r="J186" s="380" t="n"/>
      <c r="K186" s="162">
        <f>IF(AND(A186="",D186="",G186="",H186=""),"",IF(AND(OR(A186&lt;&gt;"",D186&lt;&gt;""),G186=""),"⏳ PENDENTE (falta qtd. apresentada)",IF(AND(G186&lt;&gt;"",OR(A186="",D186="")),"❌ FALTA Nº RECEBIMENTO/ESCOLA",IF(B186="Nº INVÁLIDO","❌ Nº DE RECEBIMENTO INVÁLIDO",IF(E186="CÓDIGO INVÁLIDO","❌ CÓDIGO DE ESCOLA INVÁLIDO",IF(H186&gt;G186,"❌ REJEITADO MAIOR QUE APRESENTADO",IF(AND(A186&lt;&gt;"",SUMIF($A$60:$A$559,A186,$G$60:$G$559)&gt;INDEX($G$7:$G$56,MATCH(A186,$A$7:$A$56,0))+0.01),"❌ DISTRIBUÍDO MAIS QUE O ACEITO NESSE RECEBIMENTO","OK")))))))</f>
        <v/>
      </c>
      <c r="L186" s="389">
        <f>IF(A186="","",ROW()-59)</f>
        <v/>
      </c>
    </row>
    <row r="187" hidden="1" outlineLevel="1" s="163">
      <c r="A187" s="380" t="n"/>
      <c r="B187" s="372">
        <f>IF(A187="","",IFERROR(INDEX($C$7:$C$56,MATCH(A187,$A$7:$A$56,0)),"Nº INVÁLIDO"))</f>
        <v/>
      </c>
      <c r="C187" s="372">
        <f>IF(A187="","",IFERROR(INDEX($D$7:$D$56,MATCH(A187,$A$7:$A$56,0)),"Nº INVÁLIDO"))</f>
        <v/>
      </c>
      <c r="D187" s="380" t="n"/>
      <c r="E187" s="381">
        <f>IF(D187="","",IFERROR(INDEX('Entrada de Dados'!$B$6:$B$196,MATCH(D187,'Entrada de Dados'!$A$6:$A$196,0)),"CÓDIGO INVÁLIDO"))</f>
        <v/>
      </c>
      <c r="F187" s="373" t="n"/>
      <c r="G187" s="375" t="n"/>
      <c r="H187" s="375" t="n"/>
      <c r="I187" s="376">
        <f>IF(G187="",0,MAX(G187-H187,0))</f>
        <v/>
      </c>
      <c r="J187" s="380" t="n"/>
      <c r="K187" s="162">
        <f>IF(AND(A187="",D187="",G187="",H187=""),"",IF(AND(OR(A187&lt;&gt;"",D187&lt;&gt;""),G187=""),"⏳ PENDENTE (falta qtd. apresentada)",IF(AND(G187&lt;&gt;"",OR(A187="",D187="")),"❌ FALTA Nº RECEBIMENTO/ESCOLA",IF(B187="Nº INVÁLIDO","❌ Nº DE RECEBIMENTO INVÁLIDO",IF(E187="CÓDIGO INVÁLIDO","❌ CÓDIGO DE ESCOLA INVÁLIDO",IF(H187&gt;G187,"❌ REJEITADO MAIOR QUE APRESENTADO",IF(AND(A187&lt;&gt;"",SUMIF($A$60:$A$559,A187,$G$60:$G$559)&gt;INDEX($G$7:$G$56,MATCH(A187,$A$7:$A$56,0))+0.01),"❌ DISTRIBUÍDO MAIS QUE O ACEITO NESSE RECEBIMENTO","OK")))))))</f>
        <v/>
      </c>
      <c r="L187" s="389">
        <f>IF(A187="","",ROW()-59)</f>
        <v/>
      </c>
    </row>
    <row r="188" hidden="1" outlineLevel="1" s="163">
      <c r="A188" s="380" t="n"/>
      <c r="B188" s="372">
        <f>IF(A188="","",IFERROR(INDEX($C$7:$C$56,MATCH(A188,$A$7:$A$56,0)),"Nº INVÁLIDO"))</f>
        <v/>
      </c>
      <c r="C188" s="372">
        <f>IF(A188="","",IFERROR(INDEX($D$7:$D$56,MATCH(A188,$A$7:$A$56,0)),"Nº INVÁLIDO"))</f>
        <v/>
      </c>
      <c r="D188" s="380" t="n"/>
      <c r="E188" s="381">
        <f>IF(D188="","",IFERROR(INDEX('Entrada de Dados'!$B$6:$B$196,MATCH(D188,'Entrada de Dados'!$A$6:$A$196,0)),"CÓDIGO INVÁLIDO"))</f>
        <v/>
      </c>
      <c r="F188" s="373" t="n"/>
      <c r="G188" s="375" t="n"/>
      <c r="H188" s="375" t="n"/>
      <c r="I188" s="376">
        <f>IF(G188="",0,MAX(G188-H188,0))</f>
        <v/>
      </c>
      <c r="J188" s="380" t="n"/>
      <c r="K188" s="162">
        <f>IF(AND(A188="",D188="",G188="",H188=""),"",IF(AND(OR(A188&lt;&gt;"",D188&lt;&gt;""),G188=""),"⏳ PENDENTE (falta qtd. apresentada)",IF(AND(G188&lt;&gt;"",OR(A188="",D188="")),"❌ FALTA Nº RECEBIMENTO/ESCOLA",IF(B188="Nº INVÁLIDO","❌ Nº DE RECEBIMENTO INVÁLIDO",IF(E188="CÓDIGO INVÁLIDO","❌ CÓDIGO DE ESCOLA INVÁLIDO",IF(H188&gt;G188,"❌ REJEITADO MAIOR QUE APRESENTADO",IF(AND(A188&lt;&gt;"",SUMIF($A$60:$A$559,A188,$G$60:$G$559)&gt;INDEX($G$7:$G$56,MATCH(A188,$A$7:$A$56,0))+0.01),"❌ DISTRIBUÍDO MAIS QUE O ACEITO NESSE RECEBIMENTO","OK")))))))</f>
        <v/>
      </c>
      <c r="L188" s="389">
        <f>IF(A188="","",ROW()-59)</f>
        <v/>
      </c>
    </row>
    <row r="189" hidden="1" outlineLevel="1" s="163">
      <c r="A189" s="380" t="n"/>
      <c r="B189" s="372">
        <f>IF(A189="","",IFERROR(INDEX($C$7:$C$56,MATCH(A189,$A$7:$A$56,0)),"Nº INVÁLIDO"))</f>
        <v/>
      </c>
      <c r="C189" s="372">
        <f>IF(A189="","",IFERROR(INDEX($D$7:$D$56,MATCH(A189,$A$7:$A$56,0)),"Nº INVÁLIDO"))</f>
        <v/>
      </c>
      <c r="D189" s="380" t="n"/>
      <c r="E189" s="381">
        <f>IF(D189="","",IFERROR(INDEX('Entrada de Dados'!$B$6:$B$196,MATCH(D189,'Entrada de Dados'!$A$6:$A$196,0)),"CÓDIGO INVÁLIDO"))</f>
        <v/>
      </c>
      <c r="F189" s="373" t="n"/>
      <c r="G189" s="375" t="n"/>
      <c r="H189" s="375" t="n"/>
      <c r="I189" s="376">
        <f>IF(G189="",0,MAX(G189-H189,0))</f>
        <v/>
      </c>
      <c r="J189" s="380" t="n"/>
      <c r="K189" s="162">
        <f>IF(AND(A189="",D189="",G189="",H189=""),"",IF(AND(OR(A189&lt;&gt;"",D189&lt;&gt;""),G189=""),"⏳ PENDENTE (falta qtd. apresentada)",IF(AND(G189&lt;&gt;"",OR(A189="",D189="")),"❌ FALTA Nº RECEBIMENTO/ESCOLA",IF(B189="Nº INVÁLIDO","❌ Nº DE RECEBIMENTO INVÁLIDO",IF(E189="CÓDIGO INVÁLIDO","❌ CÓDIGO DE ESCOLA INVÁLIDO",IF(H189&gt;G189,"❌ REJEITADO MAIOR QUE APRESENTADO",IF(AND(A189&lt;&gt;"",SUMIF($A$60:$A$559,A189,$G$60:$G$559)&gt;INDEX($G$7:$G$56,MATCH(A189,$A$7:$A$56,0))+0.01),"❌ DISTRIBUÍDO MAIS QUE O ACEITO NESSE RECEBIMENTO","OK")))))))</f>
        <v/>
      </c>
      <c r="L189" s="389">
        <f>IF(A189="","",ROW()-59)</f>
        <v/>
      </c>
    </row>
    <row r="190" hidden="1" outlineLevel="1" s="163">
      <c r="A190" s="380" t="n"/>
      <c r="B190" s="372">
        <f>IF(A190="","",IFERROR(INDEX($C$7:$C$56,MATCH(A190,$A$7:$A$56,0)),"Nº INVÁLIDO"))</f>
        <v/>
      </c>
      <c r="C190" s="372">
        <f>IF(A190="","",IFERROR(INDEX($D$7:$D$56,MATCH(A190,$A$7:$A$56,0)),"Nº INVÁLIDO"))</f>
        <v/>
      </c>
      <c r="D190" s="380" t="n"/>
      <c r="E190" s="381">
        <f>IF(D190="","",IFERROR(INDEX('Entrada de Dados'!$B$6:$B$196,MATCH(D190,'Entrada de Dados'!$A$6:$A$196,0)),"CÓDIGO INVÁLIDO"))</f>
        <v/>
      </c>
      <c r="F190" s="373" t="n"/>
      <c r="G190" s="375" t="n"/>
      <c r="H190" s="375" t="n"/>
      <c r="I190" s="376">
        <f>IF(G190="",0,MAX(G190-H190,0))</f>
        <v/>
      </c>
      <c r="J190" s="380" t="n"/>
      <c r="K190" s="162">
        <f>IF(AND(A190="",D190="",G190="",H190=""),"",IF(AND(OR(A190&lt;&gt;"",D190&lt;&gt;""),G190=""),"⏳ PENDENTE (falta qtd. apresentada)",IF(AND(G190&lt;&gt;"",OR(A190="",D190="")),"❌ FALTA Nº RECEBIMENTO/ESCOLA",IF(B190="Nº INVÁLIDO","❌ Nº DE RECEBIMENTO INVÁLIDO",IF(E190="CÓDIGO INVÁLIDO","❌ CÓDIGO DE ESCOLA INVÁLIDO",IF(H190&gt;G190,"❌ REJEITADO MAIOR QUE APRESENTADO",IF(AND(A190&lt;&gt;"",SUMIF($A$60:$A$559,A190,$G$60:$G$559)&gt;INDEX($G$7:$G$56,MATCH(A190,$A$7:$A$56,0))+0.01),"❌ DISTRIBUÍDO MAIS QUE O ACEITO NESSE RECEBIMENTO","OK")))))))</f>
        <v/>
      </c>
      <c r="L190" s="389">
        <f>IF(A190="","",ROW()-59)</f>
        <v/>
      </c>
    </row>
    <row r="191" hidden="1" outlineLevel="1" s="163">
      <c r="A191" s="380" t="n"/>
      <c r="B191" s="372">
        <f>IF(A191="","",IFERROR(INDEX($C$7:$C$56,MATCH(A191,$A$7:$A$56,0)),"Nº INVÁLIDO"))</f>
        <v/>
      </c>
      <c r="C191" s="372">
        <f>IF(A191="","",IFERROR(INDEX($D$7:$D$56,MATCH(A191,$A$7:$A$56,0)),"Nº INVÁLIDO"))</f>
        <v/>
      </c>
      <c r="D191" s="380" t="n"/>
      <c r="E191" s="381">
        <f>IF(D191="","",IFERROR(INDEX('Entrada de Dados'!$B$6:$B$196,MATCH(D191,'Entrada de Dados'!$A$6:$A$196,0)),"CÓDIGO INVÁLIDO"))</f>
        <v/>
      </c>
      <c r="F191" s="373" t="n"/>
      <c r="G191" s="375" t="n"/>
      <c r="H191" s="375" t="n"/>
      <c r="I191" s="376">
        <f>IF(G191="",0,MAX(G191-H191,0))</f>
        <v/>
      </c>
      <c r="J191" s="380" t="n"/>
      <c r="K191" s="162">
        <f>IF(AND(A191="",D191="",G191="",H191=""),"",IF(AND(OR(A191&lt;&gt;"",D191&lt;&gt;""),G191=""),"⏳ PENDENTE (falta qtd. apresentada)",IF(AND(G191&lt;&gt;"",OR(A191="",D191="")),"❌ FALTA Nº RECEBIMENTO/ESCOLA",IF(B191="Nº INVÁLIDO","❌ Nº DE RECEBIMENTO INVÁLIDO",IF(E191="CÓDIGO INVÁLIDO","❌ CÓDIGO DE ESCOLA INVÁLIDO",IF(H191&gt;G191,"❌ REJEITADO MAIOR QUE APRESENTADO",IF(AND(A191&lt;&gt;"",SUMIF($A$60:$A$559,A191,$G$60:$G$559)&gt;INDEX($G$7:$G$56,MATCH(A191,$A$7:$A$56,0))+0.01),"❌ DISTRIBUÍDO MAIS QUE O ACEITO NESSE RECEBIMENTO","OK")))))))</f>
        <v/>
      </c>
      <c r="L191" s="389">
        <f>IF(A191="","",ROW()-59)</f>
        <v/>
      </c>
    </row>
    <row r="192" hidden="1" outlineLevel="1" s="163">
      <c r="A192" s="380" t="n"/>
      <c r="B192" s="372">
        <f>IF(A192="","",IFERROR(INDEX($C$7:$C$56,MATCH(A192,$A$7:$A$56,0)),"Nº INVÁLIDO"))</f>
        <v/>
      </c>
      <c r="C192" s="372">
        <f>IF(A192="","",IFERROR(INDEX($D$7:$D$56,MATCH(A192,$A$7:$A$56,0)),"Nº INVÁLIDO"))</f>
        <v/>
      </c>
      <c r="D192" s="380" t="n"/>
      <c r="E192" s="381">
        <f>IF(D192="","",IFERROR(INDEX('Entrada de Dados'!$B$6:$B$196,MATCH(D192,'Entrada de Dados'!$A$6:$A$196,0)),"CÓDIGO INVÁLIDO"))</f>
        <v/>
      </c>
      <c r="F192" s="373" t="n"/>
      <c r="G192" s="375" t="n"/>
      <c r="H192" s="375" t="n"/>
      <c r="I192" s="376">
        <f>IF(G192="",0,MAX(G192-H192,0))</f>
        <v/>
      </c>
      <c r="J192" s="380" t="n"/>
      <c r="K192" s="162">
        <f>IF(AND(A192="",D192="",G192="",H192=""),"",IF(AND(OR(A192&lt;&gt;"",D192&lt;&gt;""),G192=""),"⏳ PENDENTE (falta qtd. apresentada)",IF(AND(G192&lt;&gt;"",OR(A192="",D192="")),"❌ FALTA Nº RECEBIMENTO/ESCOLA",IF(B192="Nº INVÁLIDO","❌ Nº DE RECEBIMENTO INVÁLIDO",IF(E192="CÓDIGO INVÁLIDO","❌ CÓDIGO DE ESCOLA INVÁLIDO",IF(H192&gt;G192,"❌ REJEITADO MAIOR QUE APRESENTADO",IF(AND(A192&lt;&gt;"",SUMIF($A$60:$A$559,A192,$G$60:$G$559)&gt;INDEX($G$7:$G$56,MATCH(A192,$A$7:$A$56,0))+0.01),"❌ DISTRIBUÍDO MAIS QUE O ACEITO NESSE RECEBIMENTO","OK")))))))</f>
        <v/>
      </c>
      <c r="L192" s="389">
        <f>IF(A192="","",ROW()-59)</f>
        <v/>
      </c>
    </row>
    <row r="193" hidden="1" outlineLevel="1" s="163">
      <c r="A193" s="380" t="n"/>
      <c r="B193" s="372">
        <f>IF(A193="","",IFERROR(INDEX($C$7:$C$56,MATCH(A193,$A$7:$A$56,0)),"Nº INVÁLIDO"))</f>
        <v/>
      </c>
      <c r="C193" s="372">
        <f>IF(A193="","",IFERROR(INDEX($D$7:$D$56,MATCH(A193,$A$7:$A$56,0)),"Nº INVÁLIDO"))</f>
        <v/>
      </c>
      <c r="D193" s="380" t="n"/>
      <c r="E193" s="381">
        <f>IF(D193="","",IFERROR(INDEX('Entrada de Dados'!$B$6:$B$196,MATCH(D193,'Entrada de Dados'!$A$6:$A$196,0)),"CÓDIGO INVÁLIDO"))</f>
        <v/>
      </c>
      <c r="F193" s="373" t="n"/>
      <c r="G193" s="375" t="n"/>
      <c r="H193" s="375" t="n"/>
      <c r="I193" s="376">
        <f>IF(G193="",0,MAX(G193-H193,0))</f>
        <v/>
      </c>
      <c r="J193" s="380" t="n"/>
      <c r="K193" s="162">
        <f>IF(AND(A193="",D193="",G193="",H193=""),"",IF(AND(OR(A193&lt;&gt;"",D193&lt;&gt;""),G193=""),"⏳ PENDENTE (falta qtd. apresentada)",IF(AND(G193&lt;&gt;"",OR(A193="",D193="")),"❌ FALTA Nº RECEBIMENTO/ESCOLA",IF(B193="Nº INVÁLIDO","❌ Nº DE RECEBIMENTO INVÁLIDO",IF(E193="CÓDIGO INVÁLIDO","❌ CÓDIGO DE ESCOLA INVÁLIDO",IF(H193&gt;G193,"❌ REJEITADO MAIOR QUE APRESENTADO",IF(AND(A193&lt;&gt;"",SUMIF($A$60:$A$559,A193,$G$60:$G$559)&gt;INDEX($G$7:$G$56,MATCH(A193,$A$7:$A$56,0))+0.01),"❌ DISTRIBUÍDO MAIS QUE O ACEITO NESSE RECEBIMENTO","OK")))))))</f>
        <v/>
      </c>
      <c r="L193" s="389">
        <f>IF(A193="","",ROW()-59)</f>
        <v/>
      </c>
    </row>
    <row r="194" hidden="1" outlineLevel="1" s="163">
      <c r="A194" s="380" t="n"/>
      <c r="B194" s="372">
        <f>IF(A194="","",IFERROR(INDEX($C$7:$C$56,MATCH(A194,$A$7:$A$56,0)),"Nº INVÁLIDO"))</f>
        <v/>
      </c>
      <c r="C194" s="372">
        <f>IF(A194="","",IFERROR(INDEX($D$7:$D$56,MATCH(A194,$A$7:$A$56,0)),"Nº INVÁLIDO"))</f>
        <v/>
      </c>
      <c r="D194" s="380" t="n"/>
      <c r="E194" s="381">
        <f>IF(D194="","",IFERROR(INDEX('Entrada de Dados'!$B$6:$B$196,MATCH(D194,'Entrada de Dados'!$A$6:$A$196,0)),"CÓDIGO INVÁLIDO"))</f>
        <v/>
      </c>
      <c r="F194" s="373" t="n"/>
      <c r="G194" s="375" t="n"/>
      <c r="H194" s="375" t="n"/>
      <c r="I194" s="376">
        <f>IF(G194="",0,MAX(G194-H194,0))</f>
        <v/>
      </c>
      <c r="J194" s="380" t="n"/>
      <c r="K194" s="162">
        <f>IF(AND(A194="",D194="",G194="",H194=""),"",IF(AND(OR(A194&lt;&gt;"",D194&lt;&gt;""),G194=""),"⏳ PENDENTE (falta qtd. apresentada)",IF(AND(G194&lt;&gt;"",OR(A194="",D194="")),"❌ FALTA Nº RECEBIMENTO/ESCOLA",IF(B194="Nº INVÁLIDO","❌ Nº DE RECEBIMENTO INVÁLIDO",IF(E194="CÓDIGO INVÁLIDO","❌ CÓDIGO DE ESCOLA INVÁLIDO",IF(H194&gt;G194,"❌ REJEITADO MAIOR QUE APRESENTADO",IF(AND(A194&lt;&gt;"",SUMIF($A$60:$A$559,A194,$G$60:$G$559)&gt;INDEX($G$7:$G$56,MATCH(A194,$A$7:$A$56,0))+0.01),"❌ DISTRIBUÍDO MAIS QUE O ACEITO NESSE RECEBIMENTO","OK")))))))</f>
        <v/>
      </c>
      <c r="L194" s="389">
        <f>IF(A194="","",ROW()-59)</f>
        <v/>
      </c>
    </row>
    <row r="195" hidden="1" outlineLevel="1" s="163">
      <c r="A195" s="380" t="n"/>
      <c r="B195" s="372">
        <f>IF(A195="","",IFERROR(INDEX($C$7:$C$56,MATCH(A195,$A$7:$A$56,0)),"Nº INVÁLIDO"))</f>
        <v/>
      </c>
      <c r="C195" s="372">
        <f>IF(A195="","",IFERROR(INDEX($D$7:$D$56,MATCH(A195,$A$7:$A$56,0)),"Nº INVÁLIDO"))</f>
        <v/>
      </c>
      <c r="D195" s="380" t="n"/>
      <c r="E195" s="381">
        <f>IF(D195="","",IFERROR(INDEX('Entrada de Dados'!$B$6:$B$196,MATCH(D195,'Entrada de Dados'!$A$6:$A$196,0)),"CÓDIGO INVÁLIDO"))</f>
        <v/>
      </c>
      <c r="F195" s="373" t="n"/>
      <c r="G195" s="375" t="n"/>
      <c r="H195" s="375" t="n"/>
      <c r="I195" s="376">
        <f>IF(G195="",0,MAX(G195-H195,0))</f>
        <v/>
      </c>
      <c r="J195" s="380" t="n"/>
      <c r="K195" s="162">
        <f>IF(AND(A195="",D195="",G195="",H195=""),"",IF(AND(OR(A195&lt;&gt;"",D195&lt;&gt;""),G195=""),"⏳ PENDENTE (falta qtd. apresentada)",IF(AND(G195&lt;&gt;"",OR(A195="",D195="")),"❌ FALTA Nº RECEBIMENTO/ESCOLA",IF(B195="Nº INVÁLIDO","❌ Nº DE RECEBIMENTO INVÁLIDO",IF(E195="CÓDIGO INVÁLIDO","❌ CÓDIGO DE ESCOLA INVÁLIDO",IF(H195&gt;G195,"❌ REJEITADO MAIOR QUE APRESENTADO",IF(AND(A195&lt;&gt;"",SUMIF($A$60:$A$559,A195,$G$60:$G$559)&gt;INDEX($G$7:$G$56,MATCH(A195,$A$7:$A$56,0))+0.01),"❌ DISTRIBUÍDO MAIS QUE O ACEITO NESSE RECEBIMENTO","OK")))))))</f>
        <v/>
      </c>
      <c r="L195" s="389">
        <f>IF(A195="","",ROW()-59)</f>
        <v/>
      </c>
    </row>
    <row r="196" hidden="1" outlineLevel="1" s="163">
      <c r="A196" s="380" t="n"/>
      <c r="B196" s="372">
        <f>IF(A196="","",IFERROR(INDEX($C$7:$C$56,MATCH(A196,$A$7:$A$56,0)),"Nº INVÁLIDO"))</f>
        <v/>
      </c>
      <c r="C196" s="372">
        <f>IF(A196="","",IFERROR(INDEX($D$7:$D$56,MATCH(A196,$A$7:$A$56,0)),"Nº INVÁLIDO"))</f>
        <v/>
      </c>
      <c r="D196" s="380" t="n"/>
      <c r="E196" s="381">
        <f>IF(D196="","",IFERROR(INDEX('Entrada de Dados'!$B$6:$B$196,MATCH(D196,'Entrada de Dados'!$A$6:$A$196,0)),"CÓDIGO INVÁLIDO"))</f>
        <v/>
      </c>
      <c r="F196" s="373" t="n"/>
      <c r="G196" s="375" t="n"/>
      <c r="H196" s="375" t="n"/>
      <c r="I196" s="376">
        <f>IF(G196="",0,MAX(G196-H196,0))</f>
        <v/>
      </c>
      <c r="J196" s="380" t="n"/>
      <c r="K196" s="162">
        <f>IF(AND(A196="",D196="",G196="",H196=""),"",IF(AND(OR(A196&lt;&gt;"",D196&lt;&gt;""),G196=""),"⏳ PENDENTE (falta qtd. apresentada)",IF(AND(G196&lt;&gt;"",OR(A196="",D196="")),"❌ FALTA Nº RECEBIMENTO/ESCOLA",IF(B196="Nº INVÁLIDO","❌ Nº DE RECEBIMENTO INVÁLIDO",IF(E196="CÓDIGO INVÁLIDO","❌ CÓDIGO DE ESCOLA INVÁLIDO",IF(H196&gt;G196,"❌ REJEITADO MAIOR QUE APRESENTADO",IF(AND(A196&lt;&gt;"",SUMIF($A$60:$A$559,A196,$G$60:$G$559)&gt;INDEX($G$7:$G$56,MATCH(A196,$A$7:$A$56,0))+0.01),"❌ DISTRIBUÍDO MAIS QUE O ACEITO NESSE RECEBIMENTO","OK")))))))</f>
        <v/>
      </c>
      <c r="L196" s="389">
        <f>IF(A196="","",ROW()-59)</f>
        <v/>
      </c>
    </row>
    <row r="197" hidden="1" outlineLevel="1" s="163">
      <c r="A197" s="380" t="n"/>
      <c r="B197" s="372">
        <f>IF(A197="","",IFERROR(INDEX($C$7:$C$56,MATCH(A197,$A$7:$A$56,0)),"Nº INVÁLIDO"))</f>
        <v/>
      </c>
      <c r="C197" s="372">
        <f>IF(A197="","",IFERROR(INDEX($D$7:$D$56,MATCH(A197,$A$7:$A$56,0)),"Nº INVÁLIDO"))</f>
        <v/>
      </c>
      <c r="D197" s="380" t="n"/>
      <c r="E197" s="381">
        <f>IF(D197="","",IFERROR(INDEX('Entrada de Dados'!$B$6:$B$196,MATCH(D197,'Entrada de Dados'!$A$6:$A$196,0)),"CÓDIGO INVÁLIDO"))</f>
        <v/>
      </c>
      <c r="F197" s="373" t="n"/>
      <c r="G197" s="375" t="n"/>
      <c r="H197" s="375" t="n"/>
      <c r="I197" s="376">
        <f>IF(G197="",0,MAX(G197-H197,0))</f>
        <v/>
      </c>
      <c r="J197" s="380" t="n"/>
      <c r="K197" s="162">
        <f>IF(AND(A197="",D197="",G197="",H197=""),"",IF(AND(OR(A197&lt;&gt;"",D197&lt;&gt;""),G197=""),"⏳ PENDENTE (falta qtd. apresentada)",IF(AND(G197&lt;&gt;"",OR(A197="",D197="")),"❌ FALTA Nº RECEBIMENTO/ESCOLA",IF(B197="Nº INVÁLIDO","❌ Nº DE RECEBIMENTO INVÁLIDO",IF(E197="CÓDIGO INVÁLIDO","❌ CÓDIGO DE ESCOLA INVÁLIDO",IF(H197&gt;G197,"❌ REJEITADO MAIOR QUE APRESENTADO",IF(AND(A197&lt;&gt;"",SUMIF($A$60:$A$559,A197,$G$60:$G$559)&gt;INDEX($G$7:$G$56,MATCH(A197,$A$7:$A$56,0))+0.01),"❌ DISTRIBUÍDO MAIS QUE O ACEITO NESSE RECEBIMENTO","OK")))))))</f>
        <v/>
      </c>
      <c r="L197" s="389">
        <f>IF(A197="","",ROW()-59)</f>
        <v/>
      </c>
    </row>
    <row r="198" hidden="1" outlineLevel="1" s="163">
      <c r="A198" s="380" t="n"/>
      <c r="B198" s="372">
        <f>IF(A198="","",IFERROR(INDEX($C$7:$C$56,MATCH(A198,$A$7:$A$56,0)),"Nº INVÁLIDO"))</f>
        <v/>
      </c>
      <c r="C198" s="372">
        <f>IF(A198="","",IFERROR(INDEX($D$7:$D$56,MATCH(A198,$A$7:$A$56,0)),"Nº INVÁLIDO"))</f>
        <v/>
      </c>
      <c r="D198" s="380" t="n"/>
      <c r="E198" s="381">
        <f>IF(D198="","",IFERROR(INDEX('Entrada de Dados'!$B$6:$B$196,MATCH(D198,'Entrada de Dados'!$A$6:$A$196,0)),"CÓDIGO INVÁLIDO"))</f>
        <v/>
      </c>
      <c r="F198" s="373" t="n"/>
      <c r="G198" s="375" t="n"/>
      <c r="H198" s="375" t="n"/>
      <c r="I198" s="376">
        <f>IF(G198="",0,MAX(G198-H198,0))</f>
        <v/>
      </c>
      <c r="J198" s="380" t="n"/>
      <c r="K198" s="162">
        <f>IF(AND(A198="",D198="",G198="",H198=""),"",IF(AND(OR(A198&lt;&gt;"",D198&lt;&gt;""),G198=""),"⏳ PENDENTE (falta qtd. apresentada)",IF(AND(G198&lt;&gt;"",OR(A198="",D198="")),"❌ FALTA Nº RECEBIMENTO/ESCOLA",IF(B198="Nº INVÁLIDO","❌ Nº DE RECEBIMENTO INVÁLIDO",IF(E198="CÓDIGO INVÁLIDO","❌ CÓDIGO DE ESCOLA INVÁLIDO",IF(H198&gt;G198,"❌ REJEITADO MAIOR QUE APRESENTADO",IF(AND(A198&lt;&gt;"",SUMIF($A$60:$A$559,A198,$G$60:$G$559)&gt;INDEX($G$7:$G$56,MATCH(A198,$A$7:$A$56,0))+0.01),"❌ DISTRIBUÍDO MAIS QUE O ACEITO NESSE RECEBIMENTO","OK")))))))</f>
        <v/>
      </c>
      <c r="L198" s="389">
        <f>IF(A198="","",ROW()-59)</f>
        <v/>
      </c>
    </row>
    <row r="199" hidden="1" outlineLevel="1" s="163">
      <c r="A199" s="380" t="n"/>
      <c r="B199" s="372">
        <f>IF(A199="","",IFERROR(INDEX($C$7:$C$56,MATCH(A199,$A$7:$A$56,0)),"Nº INVÁLIDO"))</f>
        <v/>
      </c>
      <c r="C199" s="372">
        <f>IF(A199="","",IFERROR(INDEX($D$7:$D$56,MATCH(A199,$A$7:$A$56,0)),"Nº INVÁLIDO"))</f>
        <v/>
      </c>
      <c r="D199" s="380" t="n"/>
      <c r="E199" s="381">
        <f>IF(D199="","",IFERROR(INDEX('Entrada de Dados'!$B$6:$B$196,MATCH(D199,'Entrada de Dados'!$A$6:$A$196,0)),"CÓDIGO INVÁLIDO"))</f>
        <v/>
      </c>
      <c r="F199" s="373" t="n"/>
      <c r="G199" s="375" t="n"/>
      <c r="H199" s="375" t="n"/>
      <c r="I199" s="376">
        <f>IF(G199="",0,MAX(G199-H199,0))</f>
        <v/>
      </c>
      <c r="J199" s="380" t="n"/>
      <c r="K199" s="162">
        <f>IF(AND(A199="",D199="",G199="",H199=""),"",IF(AND(OR(A199&lt;&gt;"",D199&lt;&gt;""),G199=""),"⏳ PENDENTE (falta qtd. apresentada)",IF(AND(G199&lt;&gt;"",OR(A199="",D199="")),"❌ FALTA Nº RECEBIMENTO/ESCOLA",IF(B199="Nº INVÁLIDO","❌ Nº DE RECEBIMENTO INVÁLIDO",IF(E199="CÓDIGO INVÁLIDO","❌ CÓDIGO DE ESCOLA INVÁLIDO",IF(H199&gt;G199,"❌ REJEITADO MAIOR QUE APRESENTADO",IF(AND(A199&lt;&gt;"",SUMIF($A$60:$A$559,A199,$G$60:$G$559)&gt;INDEX($G$7:$G$56,MATCH(A199,$A$7:$A$56,0))+0.01),"❌ DISTRIBUÍDO MAIS QUE O ACEITO NESSE RECEBIMENTO","OK")))))))</f>
        <v/>
      </c>
      <c r="L199" s="389">
        <f>IF(A199="","",ROW()-59)</f>
        <v/>
      </c>
    </row>
    <row r="200" hidden="1" outlineLevel="1" s="163">
      <c r="A200" s="380" t="n"/>
      <c r="B200" s="372">
        <f>IF(A200="","",IFERROR(INDEX($C$7:$C$56,MATCH(A200,$A$7:$A$56,0)),"Nº INVÁLIDO"))</f>
        <v/>
      </c>
      <c r="C200" s="372">
        <f>IF(A200="","",IFERROR(INDEX($D$7:$D$56,MATCH(A200,$A$7:$A$56,0)),"Nº INVÁLIDO"))</f>
        <v/>
      </c>
      <c r="D200" s="380" t="n"/>
      <c r="E200" s="381">
        <f>IF(D200="","",IFERROR(INDEX('Entrada de Dados'!$B$6:$B$196,MATCH(D200,'Entrada de Dados'!$A$6:$A$196,0)),"CÓDIGO INVÁLIDO"))</f>
        <v/>
      </c>
      <c r="F200" s="373" t="n"/>
      <c r="G200" s="375" t="n"/>
      <c r="H200" s="375" t="n"/>
      <c r="I200" s="376">
        <f>IF(G200="",0,MAX(G200-H200,0))</f>
        <v/>
      </c>
      <c r="J200" s="380" t="n"/>
      <c r="K200" s="162">
        <f>IF(AND(A200="",D200="",G200="",H200=""),"",IF(AND(OR(A200&lt;&gt;"",D200&lt;&gt;""),G200=""),"⏳ PENDENTE (falta qtd. apresentada)",IF(AND(G200&lt;&gt;"",OR(A200="",D200="")),"❌ FALTA Nº RECEBIMENTO/ESCOLA",IF(B200="Nº INVÁLIDO","❌ Nº DE RECEBIMENTO INVÁLIDO",IF(E200="CÓDIGO INVÁLIDO","❌ CÓDIGO DE ESCOLA INVÁLIDO",IF(H200&gt;G200,"❌ REJEITADO MAIOR QUE APRESENTADO",IF(AND(A200&lt;&gt;"",SUMIF($A$60:$A$559,A200,$G$60:$G$559)&gt;INDEX($G$7:$G$56,MATCH(A200,$A$7:$A$56,0))+0.01),"❌ DISTRIBUÍDO MAIS QUE O ACEITO NESSE RECEBIMENTO","OK")))))))</f>
        <v/>
      </c>
      <c r="L200" s="389">
        <f>IF(A200="","",ROW()-59)</f>
        <v/>
      </c>
    </row>
    <row r="201" hidden="1" outlineLevel="1" s="163">
      <c r="A201" s="380" t="n"/>
      <c r="B201" s="372">
        <f>IF(A201="","",IFERROR(INDEX($C$7:$C$56,MATCH(A201,$A$7:$A$56,0)),"Nº INVÁLIDO"))</f>
        <v/>
      </c>
      <c r="C201" s="372">
        <f>IF(A201="","",IFERROR(INDEX($D$7:$D$56,MATCH(A201,$A$7:$A$56,0)),"Nº INVÁLIDO"))</f>
        <v/>
      </c>
      <c r="D201" s="380" t="n"/>
      <c r="E201" s="381">
        <f>IF(D201="","",IFERROR(INDEX('Entrada de Dados'!$B$6:$B$196,MATCH(D201,'Entrada de Dados'!$A$6:$A$196,0)),"CÓDIGO INVÁLIDO"))</f>
        <v/>
      </c>
      <c r="F201" s="373" t="n"/>
      <c r="G201" s="375" t="n"/>
      <c r="H201" s="375" t="n"/>
      <c r="I201" s="376">
        <f>IF(G201="",0,MAX(G201-H201,0))</f>
        <v/>
      </c>
      <c r="J201" s="380" t="n"/>
      <c r="K201" s="162">
        <f>IF(AND(A201="",D201="",G201="",H201=""),"",IF(AND(OR(A201&lt;&gt;"",D201&lt;&gt;""),G201=""),"⏳ PENDENTE (falta qtd. apresentada)",IF(AND(G201&lt;&gt;"",OR(A201="",D201="")),"❌ FALTA Nº RECEBIMENTO/ESCOLA",IF(B201="Nº INVÁLIDO","❌ Nº DE RECEBIMENTO INVÁLIDO",IF(E201="CÓDIGO INVÁLIDO","❌ CÓDIGO DE ESCOLA INVÁLIDO",IF(H201&gt;G201,"❌ REJEITADO MAIOR QUE APRESENTADO",IF(AND(A201&lt;&gt;"",SUMIF($A$60:$A$559,A201,$G$60:$G$559)&gt;INDEX($G$7:$G$56,MATCH(A201,$A$7:$A$56,0))+0.01),"❌ DISTRIBUÍDO MAIS QUE O ACEITO NESSE RECEBIMENTO","OK")))))))</f>
        <v/>
      </c>
      <c r="L201" s="389">
        <f>IF(A201="","",ROW()-59)</f>
        <v/>
      </c>
    </row>
    <row r="202" hidden="1" outlineLevel="1" s="163">
      <c r="A202" s="380" t="n"/>
      <c r="B202" s="372">
        <f>IF(A202="","",IFERROR(INDEX($C$7:$C$56,MATCH(A202,$A$7:$A$56,0)),"Nº INVÁLIDO"))</f>
        <v/>
      </c>
      <c r="C202" s="372">
        <f>IF(A202="","",IFERROR(INDEX($D$7:$D$56,MATCH(A202,$A$7:$A$56,0)),"Nº INVÁLIDO"))</f>
        <v/>
      </c>
      <c r="D202" s="380" t="n"/>
      <c r="E202" s="381">
        <f>IF(D202="","",IFERROR(INDEX('Entrada de Dados'!$B$6:$B$196,MATCH(D202,'Entrada de Dados'!$A$6:$A$196,0)),"CÓDIGO INVÁLIDO"))</f>
        <v/>
      </c>
      <c r="F202" s="373" t="n"/>
      <c r="G202" s="375" t="n"/>
      <c r="H202" s="375" t="n"/>
      <c r="I202" s="376">
        <f>IF(G202="",0,MAX(G202-H202,0))</f>
        <v/>
      </c>
      <c r="J202" s="380" t="n"/>
      <c r="K202" s="162">
        <f>IF(AND(A202="",D202="",G202="",H202=""),"",IF(AND(OR(A202&lt;&gt;"",D202&lt;&gt;""),G202=""),"⏳ PENDENTE (falta qtd. apresentada)",IF(AND(G202&lt;&gt;"",OR(A202="",D202="")),"❌ FALTA Nº RECEBIMENTO/ESCOLA",IF(B202="Nº INVÁLIDO","❌ Nº DE RECEBIMENTO INVÁLIDO",IF(E202="CÓDIGO INVÁLIDO","❌ CÓDIGO DE ESCOLA INVÁLIDO",IF(H202&gt;G202,"❌ REJEITADO MAIOR QUE APRESENTADO",IF(AND(A202&lt;&gt;"",SUMIF($A$60:$A$559,A202,$G$60:$G$559)&gt;INDEX($G$7:$G$56,MATCH(A202,$A$7:$A$56,0))+0.01),"❌ DISTRIBUÍDO MAIS QUE O ACEITO NESSE RECEBIMENTO","OK")))))))</f>
        <v/>
      </c>
      <c r="L202" s="389">
        <f>IF(A202="","",ROW()-59)</f>
        <v/>
      </c>
    </row>
    <row r="203" hidden="1" outlineLevel="1" s="163">
      <c r="A203" s="380" t="n"/>
      <c r="B203" s="372">
        <f>IF(A203="","",IFERROR(INDEX($C$7:$C$56,MATCH(A203,$A$7:$A$56,0)),"Nº INVÁLIDO"))</f>
        <v/>
      </c>
      <c r="C203" s="372">
        <f>IF(A203="","",IFERROR(INDEX($D$7:$D$56,MATCH(A203,$A$7:$A$56,0)),"Nº INVÁLIDO"))</f>
        <v/>
      </c>
      <c r="D203" s="380" t="n"/>
      <c r="E203" s="381">
        <f>IF(D203="","",IFERROR(INDEX('Entrada de Dados'!$B$6:$B$196,MATCH(D203,'Entrada de Dados'!$A$6:$A$196,0)),"CÓDIGO INVÁLIDO"))</f>
        <v/>
      </c>
      <c r="F203" s="373" t="n"/>
      <c r="G203" s="375" t="n"/>
      <c r="H203" s="375" t="n"/>
      <c r="I203" s="376">
        <f>IF(G203="",0,MAX(G203-H203,0))</f>
        <v/>
      </c>
      <c r="J203" s="380" t="n"/>
      <c r="K203" s="162">
        <f>IF(AND(A203="",D203="",G203="",H203=""),"",IF(AND(OR(A203&lt;&gt;"",D203&lt;&gt;""),G203=""),"⏳ PENDENTE (falta qtd. apresentada)",IF(AND(G203&lt;&gt;"",OR(A203="",D203="")),"❌ FALTA Nº RECEBIMENTO/ESCOLA",IF(B203="Nº INVÁLIDO","❌ Nº DE RECEBIMENTO INVÁLIDO",IF(E203="CÓDIGO INVÁLIDO","❌ CÓDIGO DE ESCOLA INVÁLIDO",IF(H203&gt;G203,"❌ REJEITADO MAIOR QUE APRESENTADO",IF(AND(A203&lt;&gt;"",SUMIF($A$60:$A$559,A203,$G$60:$G$559)&gt;INDEX($G$7:$G$56,MATCH(A203,$A$7:$A$56,0))+0.01),"❌ DISTRIBUÍDO MAIS QUE O ACEITO NESSE RECEBIMENTO","OK")))))))</f>
        <v/>
      </c>
      <c r="L203" s="389">
        <f>IF(A203="","",ROW()-59)</f>
        <v/>
      </c>
    </row>
    <row r="204" hidden="1" outlineLevel="1" s="163">
      <c r="A204" s="380" t="n"/>
      <c r="B204" s="372">
        <f>IF(A204="","",IFERROR(INDEX($C$7:$C$56,MATCH(A204,$A$7:$A$56,0)),"Nº INVÁLIDO"))</f>
        <v/>
      </c>
      <c r="C204" s="372">
        <f>IF(A204="","",IFERROR(INDEX($D$7:$D$56,MATCH(A204,$A$7:$A$56,0)),"Nº INVÁLIDO"))</f>
        <v/>
      </c>
      <c r="D204" s="380" t="n"/>
      <c r="E204" s="381">
        <f>IF(D204="","",IFERROR(INDEX('Entrada de Dados'!$B$6:$B$196,MATCH(D204,'Entrada de Dados'!$A$6:$A$196,0)),"CÓDIGO INVÁLIDO"))</f>
        <v/>
      </c>
      <c r="F204" s="373" t="n"/>
      <c r="G204" s="375" t="n"/>
      <c r="H204" s="375" t="n"/>
      <c r="I204" s="376">
        <f>IF(G204="",0,MAX(G204-H204,0))</f>
        <v/>
      </c>
      <c r="J204" s="380" t="n"/>
      <c r="K204" s="162">
        <f>IF(AND(A204="",D204="",G204="",H204=""),"",IF(AND(OR(A204&lt;&gt;"",D204&lt;&gt;""),G204=""),"⏳ PENDENTE (falta qtd. apresentada)",IF(AND(G204&lt;&gt;"",OR(A204="",D204="")),"❌ FALTA Nº RECEBIMENTO/ESCOLA",IF(B204="Nº INVÁLIDO","❌ Nº DE RECEBIMENTO INVÁLIDO",IF(E204="CÓDIGO INVÁLIDO","❌ CÓDIGO DE ESCOLA INVÁLIDO",IF(H204&gt;G204,"❌ REJEITADO MAIOR QUE APRESENTADO",IF(AND(A204&lt;&gt;"",SUMIF($A$60:$A$559,A204,$G$60:$G$559)&gt;INDEX($G$7:$G$56,MATCH(A204,$A$7:$A$56,0))+0.01),"❌ DISTRIBUÍDO MAIS QUE O ACEITO NESSE RECEBIMENTO","OK")))))))</f>
        <v/>
      </c>
      <c r="L204" s="389">
        <f>IF(A204="","",ROW()-59)</f>
        <v/>
      </c>
    </row>
    <row r="205" hidden="1" outlineLevel="1" s="163">
      <c r="A205" s="380" t="n"/>
      <c r="B205" s="372">
        <f>IF(A205="","",IFERROR(INDEX($C$7:$C$56,MATCH(A205,$A$7:$A$56,0)),"Nº INVÁLIDO"))</f>
        <v/>
      </c>
      <c r="C205" s="372">
        <f>IF(A205="","",IFERROR(INDEX($D$7:$D$56,MATCH(A205,$A$7:$A$56,0)),"Nº INVÁLIDO"))</f>
        <v/>
      </c>
      <c r="D205" s="380" t="n"/>
      <c r="E205" s="381">
        <f>IF(D205="","",IFERROR(INDEX('Entrada de Dados'!$B$6:$B$196,MATCH(D205,'Entrada de Dados'!$A$6:$A$196,0)),"CÓDIGO INVÁLIDO"))</f>
        <v/>
      </c>
      <c r="F205" s="373" t="n"/>
      <c r="G205" s="375" t="n"/>
      <c r="H205" s="375" t="n"/>
      <c r="I205" s="376">
        <f>IF(G205="",0,MAX(G205-H205,0))</f>
        <v/>
      </c>
      <c r="J205" s="380" t="n"/>
      <c r="K205" s="162">
        <f>IF(AND(A205="",D205="",G205="",H205=""),"",IF(AND(OR(A205&lt;&gt;"",D205&lt;&gt;""),G205=""),"⏳ PENDENTE (falta qtd. apresentada)",IF(AND(G205&lt;&gt;"",OR(A205="",D205="")),"❌ FALTA Nº RECEBIMENTO/ESCOLA",IF(B205="Nº INVÁLIDO","❌ Nº DE RECEBIMENTO INVÁLIDO",IF(E205="CÓDIGO INVÁLIDO","❌ CÓDIGO DE ESCOLA INVÁLIDO",IF(H205&gt;G205,"❌ REJEITADO MAIOR QUE APRESENTADO",IF(AND(A205&lt;&gt;"",SUMIF($A$60:$A$559,A205,$G$60:$G$559)&gt;INDEX($G$7:$G$56,MATCH(A205,$A$7:$A$56,0))+0.01),"❌ DISTRIBUÍDO MAIS QUE O ACEITO NESSE RECEBIMENTO","OK")))))))</f>
        <v/>
      </c>
      <c r="L205" s="389">
        <f>IF(A205="","",ROW()-59)</f>
        <v/>
      </c>
    </row>
    <row r="206" hidden="1" outlineLevel="1" s="163">
      <c r="A206" s="380" t="n"/>
      <c r="B206" s="372">
        <f>IF(A206="","",IFERROR(INDEX($C$7:$C$56,MATCH(A206,$A$7:$A$56,0)),"Nº INVÁLIDO"))</f>
        <v/>
      </c>
      <c r="C206" s="372">
        <f>IF(A206="","",IFERROR(INDEX($D$7:$D$56,MATCH(A206,$A$7:$A$56,0)),"Nº INVÁLIDO"))</f>
        <v/>
      </c>
      <c r="D206" s="380" t="n"/>
      <c r="E206" s="381">
        <f>IF(D206="","",IFERROR(INDEX('Entrada de Dados'!$B$6:$B$196,MATCH(D206,'Entrada de Dados'!$A$6:$A$196,0)),"CÓDIGO INVÁLIDO"))</f>
        <v/>
      </c>
      <c r="F206" s="373" t="n"/>
      <c r="G206" s="375" t="n"/>
      <c r="H206" s="375" t="n"/>
      <c r="I206" s="376">
        <f>IF(G206="",0,MAX(G206-H206,0))</f>
        <v/>
      </c>
      <c r="J206" s="380" t="n"/>
      <c r="K206" s="162">
        <f>IF(AND(A206="",D206="",G206="",H206=""),"",IF(AND(OR(A206&lt;&gt;"",D206&lt;&gt;""),G206=""),"⏳ PENDENTE (falta qtd. apresentada)",IF(AND(G206&lt;&gt;"",OR(A206="",D206="")),"❌ FALTA Nº RECEBIMENTO/ESCOLA",IF(B206="Nº INVÁLIDO","❌ Nº DE RECEBIMENTO INVÁLIDO",IF(E206="CÓDIGO INVÁLIDO","❌ CÓDIGO DE ESCOLA INVÁLIDO",IF(H206&gt;G206,"❌ REJEITADO MAIOR QUE APRESENTADO",IF(AND(A206&lt;&gt;"",SUMIF($A$60:$A$559,A206,$G$60:$G$559)&gt;INDEX($G$7:$G$56,MATCH(A206,$A$7:$A$56,0))+0.01),"❌ DISTRIBUÍDO MAIS QUE O ACEITO NESSE RECEBIMENTO","OK")))))))</f>
        <v/>
      </c>
      <c r="L206" s="389">
        <f>IF(A206="","",ROW()-59)</f>
        <v/>
      </c>
    </row>
    <row r="207" hidden="1" outlineLevel="1" s="163">
      <c r="A207" s="380" t="n"/>
      <c r="B207" s="372">
        <f>IF(A207="","",IFERROR(INDEX($C$7:$C$56,MATCH(A207,$A$7:$A$56,0)),"Nº INVÁLIDO"))</f>
        <v/>
      </c>
      <c r="C207" s="372">
        <f>IF(A207="","",IFERROR(INDEX($D$7:$D$56,MATCH(A207,$A$7:$A$56,0)),"Nº INVÁLIDO"))</f>
        <v/>
      </c>
      <c r="D207" s="380" t="n"/>
      <c r="E207" s="381">
        <f>IF(D207="","",IFERROR(INDEX('Entrada de Dados'!$B$6:$B$196,MATCH(D207,'Entrada de Dados'!$A$6:$A$196,0)),"CÓDIGO INVÁLIDO"))</f>
        <v/>
      </c>
      <c r="F207" s="373" t="n"/>
      <c r="G207" s="375" t="n"/>
      <c r="H207" s="375" t="n"/>
      <c r="I207" s="376">
        <f>IF(G207="",0,MAX(G207-H207,0))</f>
        <v/>
      </c>
      <c r="J207" s="380" t="n"/>
      <c r="K207" s="162">
        <f>IF(AND(A207="",D207="",G207="",H207=""),"",IF(AND(OR(A207&lt;&gt;"",D207&lt;&gt;""),G207=""),"⏳ PENDENTE (falta qtd. apresentada)",IF(AND(G207&lt;&gt;"",OR(A207="",D207="")),"❌ FALTA Nº RECEBIMENTO/ESCOLA",IF(B207="Nº INVÁLIDO","❌ Nº DE RECEBIMENTO INVÁLIDO",IF(E207="CÓDIGO INVÁLIDO","❌ CÓDIGO DE ESCOLA INVÁLIDO",IF(H207&gt;G207,"❌ REJEITADO MAIOR QUE APRESENTADO",IF(AND(A207&lt;&gt;"",SUMIF($A$60:$A$559,A207,$G$60:$G$559)&gt;INDEX($G$7:$G$56,MATCH(A207,$A$7:$A$56,0))+0.01),"❌ DISTRIBUÍDO MAIS QUE O ACEITO NESSE RECEBIMENTO","OK")))))))</f>
        <v/>
      </c>
      <c r="L207" s="389">
        <f>IF(A207="","",ROW()-59)</f>
        <v/>
      </c>
    </row>
    <row r="208" hidden="1" outlineLevel="1" s="163">
      <c r="A208" s="380" t="n"/>
      <c r="B208" s="372">
        <f>IF(A208="","",IFERROR(INDEX($C$7:$C$56,MATCH(A208,$A$7:$A$56,0)),"Nº INVÁLIDO"))</f>
        <v/>
      </c>
      <c r="C208" s="372">
        <f>IF(A208="","",IFERROR(INDEX($D$7:$D$56,MATCH(A208,$A$7:$A$56,0)),"Nº INVÁLIDO"))</f>
        <v/>
      </c>
      <c r="D208" s="380" t="n"/>
      <c r="E208" s="381">
        <f>IF(D208="","",IFERROR(INDEX('Entrada de Dados'!$B$6:$B$196,MATCH(D208,'Entrada de Dados'!$A$6:$A$196,0)),"CÓDIGO INVÁLIDO"))</f>
        <v/>
      </c>
      <c r="F208" s="373" t="n"/>
      <c r="G208" s="375" t="n"/>
      <c r="H208" s="375" t="n"/>
      <c r="I208" s="376">
        <f>IF(G208="",0,MAX(G208-H208,0))</f>
        <v/>
      </c>
      <c r="J208" s="380" t="n"/>
      <c r="K208" s="162">
        <f>IF(AND(A208="",D208="",G208="",H208=""),"",IF(AND(OR(A208&lt;&gt;"",D208&lt;&gt;""),G208=""),"⏳ PENDENTE (falta qtd. apresentada)",IF(AND(G208&lt;&gt;"",OR(A208="",D208="")),"❌ FALTA Nº RECEBIMENTO/ESCOLA",IF(B208="Nº INVÁLIDO","❌ Nº DE RECEBIMENTO INVÁLIDO",IF(E208="CÓDIGO INVÁLIDO","❌ CÓDIGO DE ESCOLA INVÁLIDO",IF(H208&gt;G208,"❌ REJEITADO MAIOR QUE APRESENTADO",IF(AND(A208&lt;&gt;"",SUMIF($A$60:$A$559,A208,$G$60:$G$559)&gt;INDEX($G$7:$G$56,MATCH(A208,$A$7:$A$56,0))+0.01),"❌ DISTRIBUÍDO MAIS QUE O ACEITO NESSE RECEBIMENTO","OK")))))))</f>
        <v/>
      </c>
      <c r="L208" s="389">
        <f>IF(A208="","",ROW()-59)</f>
        <v/>
      </c>
    </row>
    <row r="209" hidden="1" outlineLevel="1" s="163">
      <c r="A209" s="380" t="n"/>
      <c r="B209" s="372">
        <f>IF(A209="","",IFERROR(INDEX($C$7:$C$56,MATCH(A209,$A$7:$A$56,0)),"Nº INVÁLIDO"))</f>
        <v/>
      </c>
      <c r="C209" s="372">
        <f>IF(A209="","",IFERROR(INDEX($D$7:$D$56,MATCH(A209,$A$7:$A$56,0)),"Nº INVÁLIDO"))</f>
        <v/>
      </c>
      <c r="D209" s="380" t="n"/>
      <c r="E209" s="381">
        <f>IF(D209="","",IFERROR(INDEX('Entrada de Dados'!$B$6:$B$196,MATCH(D209,'Entrada de Dados'!$A$6:$A$196,0)),"CÓDIGO INVÁLIDO"))</f>
        <v/>
      </c>
      <c r="F209" s="373" t="n"/>
      <c r="G209" s="375" t="n"/>
      <c r="H209" s="375" t="n"/>
      <c r="I209" s="376">
        <f>IF(G209="",0,MAX(G209-H209,0))</f>
        <v/>
      </c>
      <c r="J209" s="380" t="n"/>
      <c r="K209" s="162">
        <f>IF(AND(A209="",D209="",G209="",H209=""),"",IF(AND(OR(A209&lt;&gt;"",D209&lt;&gt;""),G209=""),"⏳ PENDENTE (falta qtd. apresentada)",IF(AND(G209&lt;&gt;"",OR(A209="",D209="")),"❌ FALTA Nº RECEBIMENTO/ESCOLA",IF(B209="Nº INVÁLIDO","❌ Nº DE RECEBIMENTO INVÁLIDO",IF(E209="CÓDIGO INVÁLIDO","❌ CÓDIGO DE ESCOLA INVÁLIDO",IF(H209&gt;G209,"❌ REJEITADO MAIOR QUE APRESENTADO",IF(AND(A209&lt;&gt;"",SUMIF($A$60:$A$559,A209,$G$60:$G$559)&gt;INDEX($G$7:$G$56,MATCH(A209,$A$7:$A$56,0))+0.01),"❌ DISTRIBUÍDO MAIS QUE O ACEITO NESSE RECEBIMENTO","OK")))))))</f>
        <v/>
      </c>
      <c r="L209" s="389">
        <f>IF(A209="","",ROW()-59)</f>
        <v/>
      </c>
    </row>
    <row r="210" hidden="1" outlineLevel="1" s="163">
      <c r="A210" s="380" t="n"/>
      <c r="B210" s="372">
        <f>IF(A210="","",IFERROR(INDEX($C$7:$C$56,MATCH(A210,$A$7:$A$56,0)),"Nº INVÁLIDO"))</f>
        <v/>
      </c>
      <c r="C210" s="372">
        <f>IF(A210="","",IFERROR(INDEX($D$7:$D$56,MATCH(A210,$A$7:$A$56,0)),"Nº INVÁLIDO"))</f>
        <v/>
      </c>
      <c r="D210" s="380" t="n"/>
      <c r="E210" s="381">
        <f>IF(D210="","",IFERROR(INDEX('Entrada de Dados'!$B$6:$B$196,MATCH(D210,'Entrada de Dados'!$A$6:$A$196,0)),"CÓDIGO INVÁLIDO"))</f>
        <v/>
      </c>
      <c r="F210" s="373" t="n"/>
      <c r="G210" s="375" t="n"/>
      <c r="H210" s="375" t="n"/>
      <c r="I210" s="376">
        <f>IF(G210="",0,MAX(G210-H210,0))</f>
        <v/>
      </c>
      <c r="J210" s="380" t="n"/>
      <c r="K210" s="162">
        <f>IF(AND(A210="",D210="",G210="",H210=""),"",IF(AND(OR(A210&lt;&gt;"",D210&lt;&gt;""),G210=""),"⏳ PENDENTE (falta qtd. apresentada)",IF(AND(G210&lt;&gt;"",OR(A210="",D210="")),"❌ FALTA Nº RECEBIMENTO/ESCOLA",IF(B210="Nº INVÁLIDO","❌ Nº DE RECEBIMENTO INVÁLIDO",IF(E210="CÓDIGO INVÁLIDO","❌ CÓDIGO DE ESCOLA INVÁLIDO",IF(H210&gt;G210,"❌ REJEITADO MAIOR QUE APRESENTADO",IF(AND(A210&lt;&gt;"",SUMIF($A$60:$A$559,A210,$G$60:$G$559)&gt;INDEX($G$7:$G$56,MATCH(A210,$A$7:$A$56,0))+0.01),"❌ DISTRIBUÍDO MAIS QUE O ACEITO NESSE RECEBIMENTO","OK")))))))</f>
        <v/>
      </c>
      <c r="L210" s="389">
        <f>IF(A210="","",ROW()-59)</f>
        <v/>
      </c>
    </row>
    <row r="211" hidden="1" outlineLevel="1" s="163">
      <c r="A211" s="380" t="n"/>
      <c r="B211" s="372">
        <f>IF(A211="","",IFERROR(INDEX($C$7:$C$56,MATCH(A211,$A$7:$A$56,0)),"Nº INVÁLIDO"))</f>
        <v/>
      </c>
      <c r="C211" s="372">
        <f>IF(A211="","",IFERROR(INDEX($D$7:$D$56,MATCH(A211,$A$7:$A$56,0)),"Nº INVÁLIDO"))</f>
        <v/>
      </c>
      <c r="D211" s="380" t="n"/>
      <c r="E211" s="381">
        <f>IF(D211="","",IFERROR(INDEX('Entrada de Dados'!$B$6:$B$196,MATCH(D211,'Entrada de Dados'!$A$6:$A$196,0)),"CÓDIGO INVÁLIDO"))</f>
        <v/>
      </c>
      <c r="F211" s="373" t="n"/>
      <c r="G211" s="375" t="n"/>
      <c r="H211" s="375" t="n"/>
      <c r="I211" s="376">
        <f>IF(G211="",0,MAX(G211-H211,0))</f>
        <v/>
      </c>
      <c r="J211" s="380" t="n"/>
      <c r="K211" s="162">
        <f>IF(AND(A211="",D211="",G211="",H211=""),"",IF(AND(OR(A211&lt;&gt;"",D211&lt;&gt;""),G211=""),"⏳ PENDENTE (falta qtd. apresentada)",IF(AND(G211&lt;&gt;"",OR(A211="",D211="")),"❌ FALTA Nº RECEBIMENTO/ESCOLA",IF(B211="Nº INVÁLIDO","❌ Nº DE RECEBIMENTO INVÁLIDO",IF(E211="CÓDIGO INVÁLIDO","❌ CÓDIGO DE ESCOLA INVÁLIDO",IF(H211&gt;G211,"❌ REJEITADO MAIOR QUE APRESENTADO",IF(AND(A211&lt;&gt;"",SUMIF($A$60:$A$559,A211,$G$60:$G$559)&gt;INDEX($G$7:$G$56,MATCH(A211,$A$7:$A$56,0))+0.01),"❌ DISTRIBUÍDO MAIS QUE O ACEITO NESSE RECEBIMENTO","OK")))))))</f>
        <v/>
      </c>
      <c r="L211" s="389">
        <f>IF(A211="","",ROW()-59)</f>
        <v/>
      </c>
    </row>
    <row r="212" hidden="1" outlineLevel="1" s="163">
      <c r="A212" s="380" t="n"/>
      <c r="B212" s="372">
        <f>IF(A212="","",IFERROR(INDEX($C$7:$C$56,MATCH(A212,$A$7:$A$56,0)),"Nº INVÁLIDO"))</f>
        <v/>
      </c>
      <c r="C212" s="372">
        <f>IF(A212="","",IFERROR(INDEX($D$7:$D$56,MATCH(A212,$A$7:$A$56,0)),"Nº INVÁLIDO"))</f>
        <v/>
      </c>
      <c r="D212" s="380" t="n"/>
      <c r="E212" s="381">
        <f>IF(D212="","",IFERROR(INDEX('Entrada de Dados'!$B$6:$B$196,MATCH(D212,'Entrada de Dados'!$A$6:$A$196,0)),"CÓDIGO INVÁLIDO"))</f>
        <v/>
      </c>
      <c r="F212" s="373" t="n"/>
      <c r="G212" s="375" t="n"/>
      <c r="H212" s="375" t="n"/>
      <c r="I212" s="376">
        <f>IF(G212="",0,MAX(G212-H212,0))</f>
        <v/>
      </c>
      <c r="J212" s="380" t="n"/>
      <c r="K212" s="162">
        <f>IF(AND(A212="",D212="",G212="",H212=""),"",IF(AND(OR(A212&lt;&gt;"",D212&lt;&gt;""),G212=""),"⏳ PENDENTE (falta qtd. apresentada)",IF(AND(G212&lt;&gt;"",OR(A212="",D212="")),"❌ FALTA Nº RECEBIMENTO/ESCOLA",IF(B212="Nº INVÁLIDO","❌ Nº DE RECEBIMENTO INVÁLIDO",IF(E212="CÓDIGO INVÁLIDO","❌ CÓDIGO DE ESCOLA INVÁLIDO",IF(H212&gt;G212,"❌ REJEITADO MAIOR QUE APRESENTADO",IF(AND(A212&lt;&gt;"",SUMIF($A$60:$A$559,A212,$G$60:$G$559)&gt;INDEX($G$7:$G$56,MATCH(A212,$A$7:$A$56,0))+0.01),"❌ DISTRIBUÍDO MAIS QUE O ACEITO NESSE RECEBIMENTO","OK")))))))</f>
        <v/>
      </c>
      <c r="L212" s="389">
        <f>IF(A212="","",ROW()-59)</f>
        <v/>
      </c>
    </row>
    <row r="213" hidden="1" outlineLevel="1" s="163">
      <c r="A213" s="380" t="n"/>
      <c r="B213" s="372">
        <f>IF(A213="","",IFERROR(INDEX($C$7:$C$56,MATCH(A213,$A$7:$A$56,0)),"Nº INVÁLIDO"))</f>
        <v/>
      </c>
      <c r="C213" s="372">
        <f>IF(A213="","",IFERROR(INDEX($D$7:$D$56,MATCH(A213,$A$7:$A$56,0)),"Nº INVÁLIDO"))</f>
        <v/>
      </c>
      <c r="D213" s="380" t="n"/>
      <c r="E213" s="381">
        <f>IF(D213="","",IFERROR(INDEX('Entrada de Dados'!$B$6:$B$196,MATCH(D213,'Entrada de Dados'!$A$6:$A$196,0)),"CÓDIGO INVÁLIDO"))</f>
        <v/>
      </c>
      <c r="F213" s="373" t="n"/>
      <c r="G213" s="375" t="n"/>
      <c r="H213" s="375" t="n"/>
      <c r="I213" s="376">
        <f>IF(G213="",0,MAX(G213-H213,0))</f>
        <v/>
      </c>
      <c r="J213" s="380" t="n"/>
      <c r="K213" s="162">
        <f>IF(AND(A213="",D213="",G213="",H213=""),"",IF(AND(OR(A213&lt;&gt;"",D213&lt;&gt;""),G213=""),"⏳ PENDENTE (falta qtd. apresentada)",IF(AND(G213&lt;&gt;"",OR(A213="",D213="")),"❌ FALTA Nº RECEBIMENTO/ESCOLA",IF(B213="Nº INVÁLIDO","❌ Nº DE RECEBIMENTO INVÁLIDO",IF(E213="CÓDIGO INVÁLIDO","❌ CÓDIGO DE ESCOLA INVÁLIDO",IF(H213&gt;G213,"❌ REJEITADO MAIOR QUE APRESENTADO",IF(AND(A213&lt;&gt;"",SUMIF($A$60:$A$559,A213,$G$60:$G$559)&gt;INDEX($G$7:$G$56,MATCH(A213,$A$7:$A$56,0))+0.01),"❌ DISTRIBUÍDO MAIS QUE O ACEITO NESSE RECEBIMENTO","OK")))))))</f>
        <v/>
      </c>
      <c r="L213" s="389">
        <f>IF(A213="","",ROW()-59)</f>
        <v/>
      </c>
    </row>
    <row r="214" hidden="1" outlineLevel="1" s="163">
      <c r="A214" s="380" t="n"/>
      <c r="B214" s="372">
        <f>IF(A214="","",IFERROR(INDEX($C$7:$C$56,MATCH(A214,$A$7:$A$56,0)),"Nº INVÁLIDO"))</f>
        <v/>
      </c>
      <c r="C214" s="372">
        <f>IF(A214="","",IFERROR(INDEX($D$7:$D$56,MATCH(A214,$A$7:$A$56,0)),"Nº INVÁLIDO"))</f>
        <v/>
      </c>
      <c r="D214" s="380" t="n"/>
      <c r="E214" s="381">
        <f>IF(D214="","",IFERROR(INDEX('Entrada de Dados'!$B$6:$B$196,MATCH(D214,'Entrada de Dados'!$A$6:$A$196,0)),"CÓDIGO INVÁLIDO"))</f>
        <v/>
      </c>
      <c r="F214" s="373" t="n"/>
      <c r="G214" s="375" t="n"/>
      <c r="H214" s="375" t="n"/>
      <c r="I214" s="376">
        <f>IF(G214="",0,MAX(G214-H214,0))</f>
        <v/>
      </c>
      <c r="J214" s="380" t="n"/>
      <c r="K214" s="162">
        <f>IF(AND(A214="",D214="",G214="",H214=""),"",IF(AND(OR(A214&lt;&gt;"",D214&lt;&gt;""),G214=""),"⏳ PENDENTE (falta qtd. apresentada)",IF(AND(G214&lt;&gt;"",OR(A214="",D214="")),"❌ FALTA Nº RECEBIMENTO/ESCOLA",IF(B214="Nº INVÁLIDO","❌ Nº DE RECEBIMENTO INVÁLIDO",IF(E214="CÓDIGO INVÁLIDO","❌ CÓDIGO DE ESCOLA INVÁLIDO",IF(H214&gt;G214,"❌ REJEITADO MAIOR QUE APRESENTADO",IF(AND(A214&lt;&gt;"",SUMIF($A$60:$A$559,A214,$G$60:$G$559)&gt;INDEX($G$7:$G$56,MATCH(A214,$A$7:$A$56,0))+0.01),"❌ DISTRIBUÍDO MAIS QUE O ACEITO NESSE RECEBIMENTO","OK")))))))</f>
        <v/>
      </c>
      <c r="L214" s="389">
        <f>IF(A214="","",ROW()-59)</f>
        <v/>
      </c>
    </row>
    <row r="215" hidden="1" outlineLevel="1" s="163">
      <c r="A215" s="380" t="n"/>
      <c r="B215" s="372">
        <f>IF(A215="","",IFERROR(INDEX($C$7:$C$56,MATCH(A215,$A$7:$A$56,0)),"Nº INVÁLIDO"))</f>
        <v/>
      </c>
      <c r="C215" s="372">
        <f>IF(A215="","",IFERROR(INDEX($D$7:$D$56,MATCH(A215,$A$7:$A$56,0)),"Nº INVÁLIDO"))</f>
        <v/>
      </c>
      <c r="D215" s="380" t="n"/>
      <c r="E215" s="381">
        <f>IF(D215="","",IFERROR(INDEX('Entrada de Dados'!$B$6:$B$196,MATCH(D215,'Entrada de Dados'!$A$6:$A$196,0)),"CÓDIGO INVÁLIDO"))</f>
        <v/>
      </c>
      <c r="F215" s="373" t="n"/>
      <c r="G215" s="375" t="n"/>
      <c r="H215" s="375" t="n"/>
      <c r="I215" s="376">
        <f>IF(G215="",0,MAX(G215-H215,0))</f>
        <v/>
      </c>
      <c r="J215" s="380" t="n"/>
      <c r="K215" s="162">
        <f>IF(AND(A215="",D215="",G215="",H215=""),"",IF(AND(OR(A215&lt;&gt;"",D215&lt;&gt;""),G215=""),"⏳ PENDENTE (falta qtd. apresentada)",IF(AND(G215&lt;&gt;"",OR(A215="",D215="")),"❌ FALTA Nº RECEBIMENTO/ESCOLA",IF(B215="Nº INVÁLIDO","❌ Nº DE RECEBIMENTO INVÁLIDO",IF(E215="CÓDIGO INVÁLIDO","❌ CÓDIGO DE ESCOLA INVÁLIDO",IF(H215&gt;G215,"❌ REJEITADO MAIOR QUE APRESENTADO",IF(AND(A215&lt;&gt;"",SUMIF($A$60:$A$559,A215,$G$60:$G$559)&gt;INDEX($G$7:$G$56,MATCH(A215,$A$7:$A$56,0))+0.01),"❌ DISTRIBUÍDO MAIS QUE O ACEITO NESSE RECEBIMENTO","OK")))))))</f>
        <v/>
      </c>
      <c r="L215" s="389">
        <f>IF(A215="","",ROW()-59)</f>
        <v/>
      </c>
    </row>
    <row r="216" hidden="1" outlineLevel="1" s="163">
      <c r="A216" s="380" t="n"/>
      <c r="B216" s="372">
        <f>IF(A216="","",IFERROR(INDEX($C$7:$C$56,MATCH(A216,$A$7:$A$56,0)),"Nº INVÁLIDO"))</f>
        <v/>
      </c>
      <c r="C216" s="372">
        <f>IF(A216="","",IFERROR(INDEX($D$7:$D$56,MATCH(A216,$A$7:$A$56,0)),"Nº INVÁLIDO"))</f>
        <v/>
      </c>
      <c r="D216" s="380" t="n"/>
      <c r="E216" s="381">
        <f>IF(D216="","",IFERROR(INDEX('Entrada de Dados'!$B$6:$B$196,MATCH(D216,'Entrada de Dados'!$A$6:$A$196,0)),"CÓDIGO INVÁLIDO"))</f>
        <v/>
      </c>
      <c r="F216" s="373" t="n"/>
      <c r="G216" s="375" t="n"/>
      <c r="H216" s="375" t="n"/>
      <c r="I216" s="376">
        <f>IF(G216="",0,MAX(G216-H216,0))</f>
        <v/>
      </c>
      <c r="J216" s="380" t="n"/>
      <c r="K216" s="162">
        <f>IF(AND(A216="",D216="",G216="",H216=""),"",IF(AND(OR(A216&lt;&gt;"",D216&lt;&gt;""),G216=""),"⏳ PENDENTE (falta qtd. apresentada)",IF(AND(G216&lt;&gt;"",OR(A216="",D216="")),"❌ FALTA Nº RECEBIMENTO/ESCOLA",IF(B216="Nº INVÁLIDO","❌ Nº DE RECEBIMENTO INVÁLIDO",IF(E216="CÓDIGO INVÁLIDO","❌ CÓDIGO DE ESCOLA INVÁLIDO",IF(H216&gt;G216,"❌ REJEITADO MAIOR QUE APRESENTADO",IF(AND(A216&lt;&gt;"",SUMIF($A$60:$A$559,A216,$G$60:$G$559)&gt;INDEX($G$7:$G$56,MATCH(A216,$A$7:$A$56,0))+0.01),"❌ DISTRIBUÍDO MAIS QUE O ACEITO NESSE RECEBIMENTO","OK")))))))</f>
        <v/>
      </c>
      <c r="L216" s="389">
        <f>IF(A216="","",ROW()-59)</f>
        <v/>
      </c>
    </row>
    <row r="217" hidden="1" outlineLevel="1" s="163">
      <c r="A217" s="380" t="n"/>
      <c r="B217" s="372">
        <f>IF(A217="","",IFERROR(INDEX($C$7:$C$56,MATCH(A217,$A$7:$A$56,0)),"Nº INVÁLIDO"))</f>
        <v/>
      </c>
      <c r="C217" s="372">
        <f>IF(A217="","",IFERROR(INDEX($D$7:$D$56,MATCH(A217,$A$7:$A$56,0)),"Nº INVÁLIDO"))</f>
        <v/>
      </c>
      <c r="D217" s="380" t="n"/>
      <c r="E217" s="381">
        <f>IF(D217="","",IFERROR(INDEX('Entrada de Dados'!$B$6:$B$196,MATCH(D217,'Entrada de Dados'!$A$6:$A$196,0)),"CÓDIGO INVÁLIDO"))</f>
        <v/>
      </c>
      <c r="F217" s="373" t="n"/>
      <c r="G217" s="375" t="n"/>
      <c r="H217" s="375" t="n"/>
      <c r="I217" s="376">
        <f>IF(G217="",0,MAX(G217-H217,0))</f>
        <v/>
      </c>
      <c r="J217" s="380" t="n"/>
      <c r="K217" s="162">
        <f>IF(AND(A217="",D217="",G217="",H217=""),"",IF(AND(OR(A217&lt;&gt;"",D217&lt;&gt;""),G217=""),"⏳ PENDENTE (falta qtd. apresentada)",IF(AND(G217&lt;&gt;"",OR(A217="",D217="")),"❌ FALTA Nº RECEBIMENTO/ESCOLA",IF(B217="Nº INVÁLIDO","❌ Nº DE RECEBIMENTO INVÁLIDO",IF(E217="CÓDIGO INVÁLIDO","❌ CÓDIGO DE ESCOLA INVÁLIDO",IF(H217&gt;G217,"❌ REJEITADO MAIOR QUE APRESENTADO",IF(AND(A217&lt;&gt;"",SUMIF($A$60:$A$559,A217,$G$60:$G$559)&gt;INDEX($G$7:$G$56,MATCH(A217,$A$7:$A$56,0))+0.01),"❌ DISTRIBUÍDO MAIS QUE O ACEITO NESSE RECEBIMENTO","OK")))))))</f>
        <v/>
      </c>
      <c r="L217" s="389">
        <f>IF(A217="","",ROW()-59)</f>
        <v/>
      </c>
    </row>
    <row r="218" hidden="1" outlineLevel="1" s="163">
      <c r="A218" s="380" t="n"/>
      <c r="B218" s="372">
        <f>IF(A218="","",IFERROR(INDEX($C$7:$C$56,MATCH(A218,$A$7:$A$56,0)),"Nº INVÁLIDO"))</f>
        <v/>
      </c>
      <c r="C218" s="372">
        <f>IF(A218="","",IFERROR(INDEX($D$7:$D$56,MATCH(A218,$A$7:$A$56,0)),"Nº INVÁLIDO"))</f>
        <v/>
      </c>
      <c r="D218" s="380" t="n"/>
      <c r="E218" s="381">
        <f>IF(D218="","",IFERROR(INDEX('Entrada de Dados'!$B$6:$B$196,MATCH(D218,'Entrada de Dados'!$A$6:$A$196,0)),"CÓDIGO INVÁLIDO"))</f>
        <v/>
      </c>
      <c r="F218" s="373" t="n"/>
      <c r="G218" s="375" t="n"/>
      <c r="H218" s="375" t="n"/>
      <c r="I218" s="376">
        <f>IF(G218="",0,MAX(G218-H218,0))</f>
        <v/>
      </c>
      <c r="J218" s="380" t="n"/>
      <c r="K218" s="162">
        <f>IF(AND(A218="",D218="",G218="",H218=""),"",IF(AND(OR(A218&lt;&gt;"",D218&lt;&gt;""),G218=""),"⏳ PENDENTE (falta qtd. apresentada)",IF(AND(G218&lt;&gt;"",OR(A218="",D218="")),"❌ FALTA Nº RECEBIMENTO/ESCOLA",IF(B218="Nº INVÁLIDO","❌ Nº DE RECEBIMENTO INVÁLIDO",IF(E218="CÓDIGO INVÁLIDO","❌ CÓDIGO DE ESCOLA INVÁLIDO",IF(H218&gt;G218,"❌ REJEITADO MAIOR QUE APRESENTADO",IF(AND(A218&lt;&gt;"",SUMIF($A$60:$A$559,A218,$G$60:$G$559)&gt;INDEX($G$7:$G$56,MATCH(A218,$A$7:$A$56,0))+0.01),"❌ DISTRIBUÍDO MAIS QUE O ACEITO NESSE RECEBIMENTO","OK")))))))</f>
        <v/>
      </c>
      <c r="L218" s="389">
        <f>IF(A218="","",ROW()-59)</f>
        <v/>
      </c>
    </row>
    <row r="219" hidden="1" outlineLevel="1" s="163">
      <c r="A219" s="380" t="n"/>
      <c r="B219" s="372">
        <f>IF(A219="","",IFERROR(INDEX($C$7:$C$56,MATCH(A219,$A$7:$A$56,0)),"Nº INVÁLIDO"))</f>
        <v/>
      </c>
      <c r="C219" s="372">
        <f>IF(A219="","",IFERROR(INDEX($D$7:$D$56,MATCH(A219,$A$7:$A$56,0)),"Nº INVÁLIDO"))</f>
        <v/>
      </c>
      <c r="D219" s="380" t="n"/>
      <c r="E219" s="381">
        <f>IF(D219="","",IFERROR(INDEX('Entrada de Dados'!$B$6:$B$196,MATCH(D219,'Entrada de Dados'!$A$6:$A$196,0)),"CÓDIGO INVÁLIDO"))</f>
        <v/>
      </c>
      <c r="F219" s="373" t="n"/>
      <c r="G219" s="375" t="n"/>
      <c r="H219" s="375" t="n"/>
      <c r="I219" s="376">
        <f>IF(G219="",0,MAX(G219-H219,0))</f>
        <v/>
      </c>
      <c r="J219" s="380" t="n"/>
      <c r="K219" s="162">
        <f>IF(AND(A219="",D219="",G219="",H219=""),"",IF(AND(OR(A219&lt;&gt;"",D219&lt;&gt;""),G219=""),"⏳ PENDENTE (falta qtd. apresentada)",IF(AND(G219&lt;&gt;"",OR(A219="",D219="")),"❌ FALTA Nº RECEBIMENTO/ESCOLA",IF(B219="Nº INVÁLIDO","❌ Nº DE RECEBIMENTO INVÁLIDO",IF(E219="CÓDIGO INVÁLIDO","❌ CÓDIGO DE ESCOLA INVÁLIDO",IF(H219&gt;G219,"❌ REJEITADO MAIOR QUE APRESENTADO",IF(AND(A219&lt;&gt;"",SUMIF($A$60:$A$559,A219,$G$60:$G$559)&gt;INDEX($G$7:$G$56,MATCH(A219,$A$7:$A$56,0))+0.01),"❌ DISTRIBUÍDO MAIS QUE O ACEITO NESSE RECEBIMENTO","OK")))))))</f>
        <v/>
      </c>
      <c r="L219" s="389">
        <f>IF(A219="","",ROW()-59)</f>
        <v/>
      </c>
    </row>
    <row r="220" hidden="1" outlineLevel="1" s="163">
      <c r="A220" s="380" t="n"/>
      <c r="B220" s="372">
        <f>IF(A220="","",IFERROR(INDEX($C$7:$C$56,MATCH(A220,$A$7:$A$56,0)),"Nº INVÁLIDO"))</f>
        <v/>
      </c>
      <c r="C220" s="372">
        <f>IF(A220="","",IFERROR(INDEX($D$7:$D$56,MATCH(A220,$A$7:$A$56,0)),"Nº INVÁLIDO"))</f>
        <v/>
      </c>
      <c r="D220" s="380" t="n"/>
      <c r="E220" s="381">
        <f>IF(D220="","",IFERROR(INDEX('Entrada de Dados'!$B$6:$B$196,MATCH(D220,'Entrada de Dados'!$A$6:$A$196,0)),"CÓDIGO INVÁLIDO"))</f>
        <v/>
      </c>
      <c r="F220" s="373" t="n"/>
      <c r="G220" s="375" t="n"/>
      <c r="H220" s="375" t="n"/>
      <c r="I220" s="376">
        <f>IF(G220="",0,MAX(G220-H220,0))</f>
        <v/>
      </c>
      <c r="J220" s="380" t="n"/>
      <c r="K220" s="162">
        <f>IF(AND(A220="",D220="",G220="",H220=""),"",IF(AND(OR(A220&lt;&gt;"",D220&lt;&gt;""),G220=""),"⏳ PENDENTE (falta qtd. apresentada)",IF(AND(G220&lt;&gt;"",OR(A220="",D220="")),"❌ FALTA Nº RECEBIMENTO/ESCOLA",IF(B220="Nº INVÁLIDO","❌ Nº DE RECEBIMENTO INVÁLIDO",IF(E220="CÓDIGO INVÁLIDO","❌ CÓDIGO DE ESCOLA INVÁLIDO",IF(H220&gt;G220,"❌ REJEITADO MAIOR QUE APRESENTADO",IF(AND(A220&lt;&gt;"",SUMIF($A$60:$A$559,A220,$G$60:$G$559)&gt;INDEX($G$7:$G$56,MATCH(A220,$A$7:$A$56,0))+0.01),"❌ DISTRIBUÍDO MAIS QUE O ACEITO NESSE RECEBIMENTO","OK")))))))</f>
        <v/>
      </c>
      <c r="L220" s="389">
        <f>IF(A220="","",ROW()-59)</f>
        <v/>
      </c>
    </row>
    <row r="221" hidden="1" outlineLevel="1" s="163">
      <c r="A221" s="380" t="n"/>
      <c r="B221" s="372">
        <f>IF(A221="","",IFERROR(INDEX($C$7:$C$56,MATCH(A221,$A$7:$A$56,0)),"Nº INVÁLIDO"))</f>
        <v/>
      </c>
      <c r="C221" s="372">
        <f>IF(A221="","",IFERROR(INDEX($D$7:$D$56,MATCH(A221,$A$7:$A$56,0)),"Nº INVÁLIDO"))</f>
        <v/>
      </c>
      <c r="D221" s="380" t="n"/>
      <c r="E221" s="381">
        <f>IF(D221="","",IFERROR(INDEX('Entrada de Dados'!$B$6:$B$196,MATCH(D221,'Entrada de Dados'!$A$6:$A$196,0)),"CÓDIGO INVÁLIDO"))</f>
        <v/>
      </c>
      <c r="F221" s="373" t="n"/>
      <c r="G221" s="375" t="n"/>
      <c r="H221" s="375" t="n"/>
      <c r="I221" s="376">
        <f>IF(G221="",0,MAX(G221-H221,0))</f>
        <v/>
      </c>
      <c r="J221" s="380" t="n"/>
      <c r="K221" s="162">
        <f>IF(AND(A221="",D221="",G221="",H221=""),"",IF(AND(OR(A221&lt;&gt;"",D221&lt;&gt;""),G221=""),"⏳ PENDENTE (falta qtd. apresentada)",IF(AND(G221&lt;&gt;"",OR(A221="",D221="")),"❌ FALTA Nº RECEBIMENTO/ESCOLA",IF(B221="Nº INVÁLIDO","❌ Nº DE RECEBIMENTO INVÁLIDO",IF(E221="CÓDIGO INVÁLIDO","❌ CÓDIGO DE ESCOLA INVÁLIDO",IF(H221&gt;G221,"❌ REJEITADO MAIOR QUE APRESENTADO",IF(AND(A221&lt;&gt;"",SUMIF($A$60:$A$559,A221,$G$60:$G$559)&gt;INDEX($G$7:$G$56,MATCH(A221,$A$7:$A$56,0))+0.01),"❌ DISTRIBUÍDO MAIS QUE O ACEITO NESSE RECEBIMENTO","OK")))))))</f>
        <v/>
      </c>
      <c r="L221" s="389">
        <f>IF(A221="","",ROW()-59)</f>
        <v/>
      </c>
    </row>
    <row r="222" hidden="1" outlineLevel="1" s="163">
      <c r="A222" s="380" t="n"/>
      <c r="B222" s="372">
        <f>IF(A222="","",IFERROR(INDEX($C$7:$C$56,MATCH(A222,$A$7:$A$56,0)),"Nº INVÁLIDO"))</f>
        <v/>
      </c>
      <c r="C222" s="372">
        <f>IF(A222="","",IFERROR(INDEX($D$7:$D$56,MATCH(A222,$A$7:$A$56,0)),"Nº INVÁLIDO"))</f>
        <v/>
      </c>
      <c r="D222" s="380" t="n"/>
      <c r="E222" s="381">
        <f>IF(D222="","",IFERROR(INDEX('Entrada de Dados'!$B$6:$B$196,MATCH(D222,'Entrada de Dados'!$A$6:$A$196,0)),"CÓDIGO INVÁLIDO"))</f>
        <v/>
      </c>
      <c r="F222" s="373" t="n"/>
      <c r="G222" s="375" t="n"/>
      <c r="H222" s="375" t="n"/>
      <c r="I222" s="376">
        <f>IF(G222="",0,MAX(G222-H222,0))</f>
        <v/>
      </c>
      <c r="J222" s="380" t="n"/>
      <c r="K222" s="162">
        <f>IF(AND(A222="",D222="",G222="",H222=""),"",IF(AND(OR(A222&lt;&gt;"",D222&lt;&gt;""),G222=""),"⏳ PENDENTE (falta qtd. apresentada)",IF(AND(G222&lt;&gt;"",OR(A222="",D222="")),"❌ FALTA Nº RECEBIMENTO/ESCOLA",IF(B222="Nº INVÁLIDO","❌ Nº DE RECEBIMENTO INVÁLIDO",IF(E222="CÓDIGO INVÁLIDO","❌ CÓDIGO DE ESCOLA INVÁLIDO",IF(H222&gt;G222,"❌ REJEITADO MAIOR QUE APRESENTADO",IF(AND(A222&lt;&gt;"",SUMIF($A$60:$A$559,A222,$G$60:$G$559)&gt;INDEX($G$7:$G$56,MATCH(A222,$A$7:$A$56,0))+0.01),"❌ DISTRIBUÍDO MAIS QUE O ACEITO NESSE RECEBIMENTO","OK")))))))</f>
        <v/>
      </c>
      <c r="L222" s="389">
        <f>IF(A222="","",ROW()-59)</f>
        <v/>
      </c>
    </row>
    <row r="223" hidden="1" outlineLevel="1" s="163">
      <c r="A223" s="380" t="n"/>
      <c r="B223" s="372">
        <f>IF(A223="","",IFERROR(INDEX($C$7:$C$56,MATCH(A223,$A$7:$A$56,0)),"Nº INVÁLIDO"))</f>
        <v/>
      </c>
      <c r="C223" s="372">
        <f>IF(A223="","",IFERROR(INDEX($D$7:$D$56,MATCH(A223,$A$7:$A$56,0)),"Nº INVÁLIDO"))</f>
        <v/>
      </c>
      <c r="D223" s="380" t="n"/>
      <c r="E223" s="381">
        <f>IF(D223="","",IFERROR(INDEX('Entrada de Dados'!$B$6:$B$196,MATCH(D223,'Entrada de Dados'!$A$6:$A$196,0)),"CÓDIGO INVÁLIDO"))</f>
        <v/>
      </c>
      <c r="F223" s="373" t="n"/>
      <c r="G223" s="375" t="n"/>
      <c r="H223" s="375" t="n"/>
      <c r="I223" s="376">
        <f>IF(G223="",0,MAX(G223-H223,0))</f>
        <v/>
      </c>
      <c r="J223" s="380" t="n"/>
      <c r="K223" s="162">
        <f>IF(AND(A223="",D223="",G223="",H223=""),"",IF(AND(OR(A223&lt;&gt;"",D223&lt;&gt;""),G223=""),"⏳ PENDENTE (falta qtd. apresentada)",IF(AND(G223&lt;&gt;"",OR(A223="",D223="")),"❌ FALTA Nº RECEBIMENTO/ESCOLA",IF(B223="Nº INVÁLIDO","❌ Nº DE RECEBIMENTO INVÁLIDO",IF(E223="CÓDIGO INVÁLIDO","❌ CÓDIGO DE ESCOLA INVÁLIDO",IF(H223&gt;G223,"❌ REJEITADO MAIOR QUE APRESENTADO",IF(AND(A223&lt;&gt;"",SUMIF($A$60:$A$559,A223,$G$60:$G$559)&gt;INDEX($G$7:$G$56,MATCH(A223,$A$7:$A$56,0))+0.01),"❌ DISTRIBUÍDO MAIS QUE O ACEITO NESSE RECEBIMENTO","OK")))))))</f>
        <v/>
      </c>
      <c r="L223" s="389">
        <f>IF(A223="","",ROW()-59)</f>
        <v/>
      </c>
    </row>
    <row r="224" hidden="1" outlineLevel="1" s="163">
      <c r="A224" s="380" t="n"/>
      <c r="B224" s="372">
        <f>IF(A224="","",IFERROR(INDEX($C$7:$C$56,MATCH(A224,$A$7:$A$56,0)),"Nº INVÁLIDO"))</f>
        <v/>
      </c>
      <c r="C224" s="372">
        <f>IF(A224="","",IFERROR(INDEX($D$7:$D$56,MATCH(A224,$A$7:$A$56,0)),"Nº INVÁLIDO"))</f>
        <v/>
      </c>
      <c r="D224" s="380" t="n"/>
      <c r="E224" s="381">
        <f>IF(D224="","",IFERROR(INDEX('Entrada de Dados'!$B$6:$B$196,MATCH(D224,'Entrada de Dados'!$A$6:$A$196,0)),"CÓDIGO INVÁLIDO"))</f>
        <v/>
      </c>
      <c r="F224" s="373" t="n"/>
      <c r="G224" s="375" t="n"/>
      <c r="H224" s="375" t="n"/>
      <c r="I224" s="376">
        <f>IF(G224="",0,MAX(G224-H224,0))</f>
        <v/>
      </c>
      <c r="J224" s="380" t="n"/>
      <c r="K224" s="162">
        <f>IF(AND(A224="",D224="",G224="",H224=""),"",IF(AND(OR(A224&lt;&gt;"",D224&lt;&gt;""),G224=""),"⏳ PENDENTE (falta qtd. apresentada)",IF(AND(G224&lt;&gt;"",OR(A224="",D224="")),"❌ FALTA Nº RECEBIMENTO/ESCOLA",IF(B224="Nº INVÁLIDO","❌ Nº DE RECEBIMENTO INVÁLIDO",IF(E224="CÓDIGO INVÁLIDO","❌ CÓDIGO DE ESCOLA INVÁLIDO",IF(H224&gt;G224,"❌ REJEITADO MAIOR QUE APRESENTADO",IF(AND(A224&lt;&gt;"",SUMIF($A$60:$A$559,A224,$G$60:$G$559)&gt;INDEX($G$7:$G$56,MATCH(A224,$A$7:$A$56,0))+0.01),"❌ DISTRIBUÍDO MAIS QUE O ACEITO NESSE RECEBIMENTO","OK")))))))</f>
        <v/>
      </c>
      <c r="L224" s="389">
        <f>IF(A224="","",ROW()-59)</f>
        <v/>
      </c>
    </row>
    <row r="225" hidden="1" outlineLevel="1" s="163">
      <c r="A225" s="380" t="n"/>
      <c r="B225" s="372">
        <f>IF(A225="","",IFERROR(INDEX($C$7:$C$56,MATCH(A225,$A$7:$A$56,0)),"Nº INVÁLIDO"))</f>
        <v/>
      </c>
      <c r="C225" s="372">
        <f>IF(A225="","",IFERROR(INDEX($D$7:$D$56,MATCH(A225,$A$7:$A$56,0)),"Nº INVÁLIDO"))</f>
        <v/>
      </c>
      <c r="D225" s="380" t="n"/>
      <c r="E225" s="381">
        <f>IF(D225="","",IFERROR(INDEX('Entrada de Dados'!$B$6:$B$196,MATCH(D225,'Entrada de Dados'!$A$6:$A$196,0)),"CÓDIGO INVÁLIDO"))</f>
        <v/>
      </c>
      <c r="F225" s="373" t="n"/>
      <c r="G225" s="375" t="n"/>
      <c r="H225" s="375" t="n"/>
      <c r="I225" s="376">
        <f>IF(G225="",0,MAX(G225-H225,0))</f>
        <v/>
      </c>
      <c r="J225" s="380" t="n"/>
      <c r="K225" s="162">
        <f>IF(AND(A225="",D225="",G225="",H225=""),"",IF(AND(OR(A225&lt;&gt;"",D225&lt;&gt;""),G225=""),"⏳ PENDENTE (falta qtd. apresentada)",IF(AND(G225&lt;&gt;"",OR(A225="",D225="")),"❌ FALTA Nº RECEBIMENTO/ESCOLA",IF(B225="Nº INVÁLIDO","❌ Nº DE RECEBIMENTO INVÁLIDO",IF(E225="CÓDIGO INVÁLIDO","❌ CÓDIGO DE ESCOLA INVÁLIDO",IF(H225&gt;G225,"❌ REJEITADO MAIOR QUE APRESENTADO",IF(AND(A225&lt;&gt;"",SUMIF($A$60:$A$559,A225,$G$60:$G$559)&gt;INDEX($G$7:$G$56,MATCH(A225,$A$7:$A$56,0))+0.01),"❌ DISTRIBUÍDO MAIS QUE O ACEITO NESSE RECEBIMENTO","OK")))))))</f>
        <v/>
      </c>
      <c r="L225" s="389">
        <f>IF(A225="","",ROW()-59)</f>
        <v/>
      </c>
    </row>
    <row r="226" hidden="1" outlineLevel="1" s="163">
      <c r="A226" s="380" t="n"/>
      <c r="B226" s="372">
        <f>IF(A226="","",IFERROR(INDEX($C$7:$C$56,MATCH(A226,$A$7:$A$56,0)),"Nº INVÁLIDO"))</f>
        <v/>
      </c>
      <c r="C226" s="372">
        <f>IF(A226="","",IFERROR(INDEX($D$7:$D$56,MATCH(A226,$A$7:$A$56,0)),"Nº INVÁLIDO"))</f>
        <v/>
      </c>
      <c r="D226" s="380" t="n"/>
      <c r="E226" s="381">
        <f>IF(D226="","",IFERROR(INDEX('Entrada de Dados'!$B$6:$B$196,MATCH(D226,'Entrada de Dados'!$A$6:$A$196,0)),"CÓDIGO INVÁLIDO"))</f>
        <v/>
      </c>
      <c r="F226" s="373" t="n"/>
      <c r="G226" s="375" t="n"/>
      <c r="H226" s="375" t="n"/>
      <c r="I226" s="376">
        <f>IF(G226="",0,MAX(G226-H226,0))</f>
        <v/>
      </c>
      <c r="J226" s="380" t="n"/>
      <c r="K226" s="162">
        <f>IF(AND(A226="",D226="",G226="",H226=""),"",IF(AND(OR(A226&lt;&gt;"",D226&lt;&gt;""),G226=""),"⏳ PENDENTE (falta qtd. apresentada)",IF(AND(G226&lt;&gt;"",OR(A226="",D226="")),"❌ FALTA Nº RECEBIMENTO/ESCOLA",IF(B226="Nº INVÁLIDO","❌ Nº DE RECEBIMENTO INVÁLIDO",IF(E226="CÓDIGO INVÁLIDO","❌ CÓDIGO DE ESCOLA INVÁLIDO",IF(H226&gt;G226,"❌ REJEITADO MAIOR QUE APRESENTADO",IF(AND(A226&lt;&gt;"",SUMIF($A$60:$A$559,A226,$G$60:$G$559)&gt;INDEX($G$7:$G$56,MATCH(A226,$A$7:$A$56,0))+0.01),"❌ DISTRIBUÍDO MAIS QUE O ACEITO NESSE RECEBIMENTO","OK")))))))</f>
        <v/>
      </c>
      <c r="L226" s="389">
        <f>IF(A226="","",ROW()-59)</f>
        <v/>
      </c>
    </row>
    <row r="227" hidden="1" outlineLevel="1" s="163">
      <c r="A227" s="380" t="n"/>
      <c r="B227" s="372">
        <f>IF(A227="","",IFERROR(INDEX($C$7:$C$56,MATCH(A227,$A$7:$A$56,0)),"Nº INVÁLIDO"))</f>
        <v/>
      </c>
      <c r="C227" s="372">
        <f>IF(A227="","",IFERROR(INDEX($D$7:$D$56,MATCH(A227,$A$7:$A$56,0)),"Nº INVÁLIDO"))</f>
        <v/>
      </c>
      <c r="D227" s="380" t="n"/>
      <c r="E227" s="381">
        <f>IF(D227="","",IFERROR(INDEX('Entrada de Dados'!$B$6:$B$196,MATCH(D227,'Entrada de Dados'!$A$6:$A$196,0)),"CÓDIGO INVÁLIDO"))</f>
        <v/>
      </c>
      <c r="F227" s="373" t="n"/>
      <c r="G227" s="375" t="n"/>
      <c r="H227" s="375" t="n"/>
      <c r="I227" s="376">
        <f>IF(G227="",0,MAX(G227-H227,0))</f>
        <v/>
      </c>
      <c r="J227" s="380" t="n"/>
      <c r="K227" s="162">
        <f>IF(AND(A227="",D227="",G227="",H227=""),"",IF(AND(OR(A227&lt;&gt;"",D227&lt;&gt;""),G227=""),"⏳ PENDENTE (falta qtd. apresentada)",IF(AND(G227&lt;&gt;"",OR(A227="",D227="")),"❌ FALTA Nº RECEBIMENTO/ESCOLA",IF(B227="Nº INVÁLIDO","❌ Nº DE RECEBIMENTO INVÁLIDO",IF(E227="CÓDIGO INVÁLIDO","❌ CÓDIGO DE ESCOLA INVÁLIDO",IF(H227&gt;G227,"❌ REJEITADO MAIOR QUE APRESENTADO",IF(AND(A227&lt;&gt;"",SUMIF($A$60:$A$559,A227,$G$60:$G$559)&gt;INDEX($G$7:$G$56,MATCH(A227,$A$7:$A$56,0))+0.01),"❌ DISTRIBUÍDO MAIS QUE O ACEITO NESSE RECEBIMENTO","OK")))))))</f>
        <v/>
      </c>
      <c r="L227" s="389">
        <f>IF(A227="","",ROW()-59)</f>
        <v/>
      </c>
    </row>
    <row r="228" hidden="1" outlineLevel="1" s="163">
      <c r="A228" s="380" t="n"/>
      <c r="B228" s="372">
        <f>IF(A228="","",IFERROR(INDEX($C$7:$C$56,MATCH(A228,$A$7:$A$56,0)),"Nº INVÁLIDO"))</f>
        <v/>
      </c>
      <c r="C228" s="372">
        <f>IF(A228="","",IFERROR(INDEX($D$7:$D$56,MATCH(A228,$A$7:$A$56,0)),"Nº INVÁLIDO"))</f>
        <v/>
      </c>
      <c r="D228" s="380" t="n"/>
      <c r="E228" s="381">
        <f>IF(D228="","",IFERROR(INDEX('Entrada de Dados'!$B$6:$B$196,MATCH(D228,'Entrada de Dados'!$A$6:$A$196,0)),"CÓDIGO INVÁLIDO"))</f>
        <v/>
      </c>
      <c r="F228" s="373" t="n"/>
      <c r="G228" s="375" t="n"/>
      <c r="H228" s="375" t="n"/>
      <c r="I228" s="376">
        <f>IF(G228="",0,MAX(G228-H228,0))</f>
        <v/>
      </c>
      <c r="J228" s="380" t="n"/>
      <c r="K228" s="162">
        <f>IF(AND(A228="",D228="",G228="",H228=""),"",IF(AND(OR(A228&lt;&gt;"",D228&lt;&gt;""),G228=""),"⏳ PENDENTE (falta qtd. apresentada)",IF(AND(G228&lt;&gt;"",OR(A228="",D228="")),"❌ FALTA Nº RECEBIMENTO/ESCOLA",IF(B228="Nº INVÁLIDO","❌ Nº DE RECEBIMENTO INVÁLIDO",IF(E228="CÓDIGO INVÁLIDO","❌ CÓDIGO DE ESCOLA INVÁLIDO",IF(H228&gt;G228,"❌ REJEITADO MAIOR QUE APRESENTADO",IF(AND(A228&lt;&gt;"",SUMIF($A$60:$A$559,A228,$G$60:$G$559)&gt;INDEX($G$7:$G$56,MATCH(A228,$A$7:$A$56,0))+0.01),"❌ DISTRIBUÍDO MAIS QUE O ACEITO NESSE RECEBIMENTO","OK")))))))</f>
        <v/>
      </c>
      <c r="L228" s="389">
        <f>IF(A228="","",ROW()-59)</f>
        <v/>
      </c>
    </row>
    <row r="229" hidden="1" outlineLevel="1" s="163">
      <c r="A229" s="380" t="n"/>
      <c r="B229" s="372">
        <f>IF(A229="","",IFERROR(INDEX($C$7:$C$56,MATCH(A229,$A$7:$A$56,0)),"Nº INVÁLIDO"))</f>
        <v/>
      </c>
      <c r="C229" s="372">
        <f>IF(A229="","",IFERROR(INDEX($D$7:$D$56,MATCH(A229,$A$7:$A$56,0)),"Nº INVÁLIDO"))</f>
        <v/>
      </c>
      <c r="D229" s="380" t="n"/>
      <c r="E229" s="381">
        <f>IF(D229="","",IFERROR(INDEX('Entrada de Dados'!$B$6:$B$196,MATCH(D229,'Entrada de Dados'!$A$6:$A$196,0)),"CÓDIGO INVÁLIDO"))</f>
        <v/>
      </c>
      <c r="F229" s="373" t="n"/>
      <c r="G229" s="375" t="n"/>
      <c r="H229" s="375" t="n"/>
      <c r="I229" s="376">
        <f>IF(G229="",0,MAX(G229-H229,0))</f>
        <v/>
      </c>
      <c r="J229" s="380" t="n"/>
      <c r="K229" s="162">
        <f>IF(AND(A229="",D229="",G229="",H229=""),"",IF(AND(OR(A229&lt;&gt;"",D229&lt;&gt;""),G229=""),"⏳ PENDENTE (falta qtd. apresentada)",IF(AND(G229&lt;&gt;"",OR(A229="",D229="")),"❌ FALTA Nº RECEBIMENTO/ESCOLA",IF(B229="Nº INVÁLIDO","❌ Nº DE RECEBIMENTO INVÁLIDO",IF(E229="CÓDIGO INVÁLIDO","❌ CÓDIGO DE ESCOLA INVÁLIDO",IF(H229&gt;G229,"❌ REJEITADO MAIOR QUE APRESENTADO",IF(AND(A229&lt;&gt;"",SUMIF($A$60:$A$559,A229,$G$60:$G$559)&gt;INDEX($G$7:$G$56,MATCH(A229,$A$7:$A$56,0))+0.01),"❌ DISTRIBUÍDO MAIS QUE O ACEITO NESSE RECEBIMENTO","OK")))))))</f>
        <v/>
      </c>
      <c r="L229" s="389">
        <f>IF(A229="","",ROW()-59)</f>
        <v/>
      </c>
    </row>
    <row r="230" hidden="1" outlineLevel="1" s="163">
      <c r="A230" s="380" t="n"/>
      <c r="B230" s="372">
        <f>IF(A230="","",IFERROR(INDEX($C$7:$C$56,MATCH(A230,$A$7:$A$56,0)),"Nº INVÁLIDO"))</f>
        <v/>
      </c>
      <c r="C230" s="372">
        <f>IF(A230="","",IFERROR(INDEX($D$7:$D$56,MATCH(A230,$A$7:$A$56,0)),"Nº INVÁLIDO"))</f>
        <v/>
      </c>
      <c r="D230" s="380" t="n"/>
      <c r="E230" s="381">
        <f>IF(D230="","",IFERROR(INDEX('Entrada de Dados'!$B$6:$B$196,MATCH(D230,'Entrada de Dados'!$A$6:$A$196,0)),"CÓDIGO INVÁLIDO"))</f>
        <v/>
      </c>
      <c r="F230" s="373" t="n"/>
      <c r="G230" s="375" t="n"/>
      <c r="H230" s="375" t="n"/>
      <c r="I230" s="376">
        <f>IF(G230="",0,MAX(G230-H230,0))</f>
        <v/>
      </c>
      <c r="J230" s="380" t="n"/>
      <c r="K230" s="162">
        <f>IF(AND(A230="",D230="",G230="",H230=""),"",IF(AND(OR(A230&lt;&gt;"",D230&lt;&gt;""),G230=""),"⏳ PENDENTE (falta qtd. apresentada)",IF(AND(G230&lt;&gt;"",OR(A230="",D230="")),"❌ FALTA Nº RECEBIMENTO/ESCOLA",IF(B230="Nº INVÁLIDO","❌ Nº DE RECEBIMENTO INVÁLIDO",IF(E230="CÓDIGO INVÁLIDO","❌ CÓDIGO DE ESCOLA INVÁLIDO",IF(H230&gt;G230,"❌ REJEITADO MAIOR QUE APRESENTADO",IF(AND(A230&lt;&gt;"",SUMIF($A$60:$A$559,A230,$G$60:$G$559)&gt;INDEX($G$7:$G$56,MATCH(A230,$A$7:$A$56,0))+0.01),"❌ DISTRIBUÍDO MAIS QUE O ACEITO NESSE RECEBIMENTO","OK")))))))</f>
        <v/>
      </c>
      <c r="L230" s="389">
        <f>IF(A230="","",ROW()-59)</f>
        <v/>
      </c>
    </row>
    <row r="231" hidden="1" outlineLevel="1" s="163">
      <c r="A231" s="380" t="n"/>
      <c r="B231" s="372">
        <f>IF(A231="","",IFERROR(INDEX($C$7:$C$56,MATCH(A231,$A$7:$A$56,0)),"Nº INVÁLIDO"))</f>
        <v/>
      </c>
      <c r="C231" s="372">
        <f>IF(A231="","",IFERROR(INDEX($D$7:$D$56,MATCH(A231,$A$7:$A$56,0)),"Nº INVÁLIDO"))</f>
        <v/>
      </c>
      <c r="D231" s="380" t="n"/>
      <c r="E231" s="381">
        <f>IF(D231="","",IFERROR(INDEX('Entrada de Dados'!$B$6:$B$196,MATCH(D231,'Entrada de Dados'!$A$6:$A$196,0)),"CÓDIGO INVÁLIDO"))</f>
        <v/>
      </c>
      <c r="F231" s="373" t="n"/>
      <c r="G231" s="375" t="n"/>
      <c r="H231" s="375" t="n"/>
      <c r="I231" s="376">
        <f>IF(G231="",0,MAX(G231-H231,0))</f>
        <v/>
      </c>
      <c r="J231" s="380" t="n"/>
      <c r="K231" s="162">
        <f>IF(AND(A231="",D231="",G231="",H231=""),"",IF(AND(OR(A231&lt;&gt;"",D231&lt;&gt;""),G231=""),"⏳ PENDENTE (falta qtd. apresentada)",IF(AND(G231&lt;&gt;"",OR(A231="",D231="")),"❌ FALTA Nº RECEBIMENTO/ESCOLA",IF(B231="Nº INVÁLIDO","❌ Nº DE RECEBIMENTO INVÁLIDO",IF(E231="CÓDIGO INVÁLIDO","❌ CÓDIGO DE ESCOLA INVÁLIDO",IF(H231&gt;G231,"❌ REJEITADO MAIOR QUE APRESENTADO",IF(AND(A231&lt;&gt;"",SUMIF($A$60:$A$559,A231,$G$60:$G$559)&gt;INDEX($G$7:$G$56,MATCH(A231,$A$7:$A$56,0))+0.01),"❌ DISTRIBUÍDO MAIS QUE O ACEITO NESSE RECEBIMENTO","OK")))))))</f>
        <v/>
      </c>
      <c r="L231" s="389">
        <f>IF(A231="","",ROW()-59)</f>
        <v/>
      </c>
    </row>
    <row r="232" hidden="1" outlineLevel="1" s="163">
      <c r="A232" s="380" t="n"/>
      <c r="B232" s="372">
        <f>IF(A232="","",IFERROR(INDEX($C$7:$C$56,MATCH(A232,$A$7:$A$56,0)),"Nº INVÁLIDO"))</f>
        <v/>
      </c>
      <c r="C232" s="372">
        <f>IF(A232="","",IFERROR(INDEX($D$7:$D$56,MATCH(A232,$A$7:$A$56,0)),"Nº INVÁLIDO"))</f>
        <v/>
      </c>
      <c r="D232" s="380" t="n"/>
      <c r="E232" s="381">
        <f>IF(D232="","",IFERROR(INDEX('Entrada de Dados'!$B$6:$B$196,MATCH(D232,'Entrada de Dados'!$A$6:$A$196,0)),"CÓDIGO INVÁLIDO"))</f>
        <v/>
      </c>
      <c r="F232" s="373" t="n"/>
      <c r="G232" s="375" t="n"/>
      <c r="H232" s="375" t="n"/>
      <c r="I232" s="376">
        <f>IF(G232="",0,MAX(G232-H232,0))</f>
        <v/>
      </c>
      <c r="J232" s="380" t="n"/>
      <c r="K232" s="162">
        <f>IF(AND(A232="",D232="",G232="",H232=""),"",IF(AND(OR(A232&lt;&gt;"",D232&lt;&gt;""),G232=""),"⏳ PENDENTE (falta qtd. apresentada)",IF(AND(G232&lt;&gt;"",OR(A232="",D232="")),"❌ FALTA Nº RECEBIMENTO/ESCOLA",IF(B232="Nº INVÁLIDO","❌ Nº DE RECEBIMENTO INVÁLIDO",IF(E232="CÓDIGO INVÁLIDO","❌ CÓDIGO DE ESCOLA INVÁLIDO",IF(H232&gt;G232,"❌ REJEITADO MAIOR QUE APRESENTADO",IF(AND(A232&lt;&gt;"",SUMIF($A$60:$A$559,A232,$G$60:$G$559)&gt;INDEX($G$7:$G$56,MATCH(A232,$A$7:$A$56,0))+0.01),"❌ DISTRIBUÍDO MAIS QUE O ACEITO NESSE RECEBIMENTO","OK")))))))</f>
        <v/>
      </c>
      <c r="L232" s="389">
        <f>IF(A232="","",ROW()-59)</f>
        <v/>
      </c>
    </row>
    <row r="233" hidden="1" outlineLevel="1" s="163">
      <c r="A233" s="380" t="n"/>
      <c r="B233" s="372">
        <f>IF(A233="","",IFERROR(INDEX($C$7:$C$56,MATCH(A233,$A$7:$A$56,0)),"Nº INVÁLIDO"))</f>
        <v/>
      </c>
      <c r="C233" s="372">
        <f>IF(A233="","",IFERROR(INDEX($D$7:$D$56,MATCH(A233,$A$7:$A$56,0)),"Nº INVÁLIDO"))</f>
        <v/>
      </c>
      <c r="D233" s="380" t="n"/>
      <c r="E233" s="381">
        <f>IF(D233="","",IFERROR(INDEX('Entrada de Dados'!$B$6:$B$196,MATCH(D233,'Entrada de Dados'!$A$6:$A$196,0)),"CÓDIGO INVÁLIDO"))</f>
        <v/>
      </c>
      <c r="F233" s="373" t="n"/>
      <c r="G233" s="375" t="n"/>
      <c r="H233" s="375" t="n"/>
      <c r="I233" s="376">
        <f>IF(G233="",0,MAX(G233-H233,0))</f>
        <v/>
      </c>
      <c r="J233" s="380" t="n"/>
      <c r="K233" s="162">
        <f>IF(AND(A233="",D233="",G233="",H233=""),"",IF(AND(OR(A233&lt;&gt;"",D233&lt;&gt;""),G233=""),"⏳ PENDENTE (falta qtd. apresentada)",IF(AND(G233&lt;&gt;"",OR(A233="",D233="")),"❌ FALTA Nº RECEBIMENTO/ESCOLA",IF(B233="Nº INVÁLIDO","❌ Nº DE RECEBIMENTO INVÁLIDO",IF(E233="CÓDIGO INVÁLIDO","❌ CÓDIGO DE ESCOLA INVÁLIDO",IF(H233&gt;G233,"❌ REJEITADO MAIOR QUE APRESENTADO",IF(AND(A233&lt;&gt;"",SUMIF($A$60:$A$559,A233,$G$60:$G$559)&gt;INDEX($G$7:$G$56,MATCH(A233,$A$7:$A$56,0))+0.01),"❌ DISTRIBUÍDO MAIS QUE O ACEITO NESSE RECEBIMENTO","OK")))))))</f>
        <v/>
      </c>
      <c r="L233" s="389">
        <f>IF(A233="","",ROW()-59)</f>
        <v/>
      </c>
    </row>
    <row r="234" hidden="1" outlineLevel="1" s="163">
      <c r="A234" s="380" t="n"/>
      <c r="B234" s="372">
        <f>IF(A234="","",IFERROR(INDEX($C$7:$C$56,MATCH(A234,$A$7:$A$56,0)),"Nº INVÁLIDO"))</f>
        <v/>
      </c>
      <c r="C234" s="372">
        <f>IF(A234="","",IFERROR(INDEX($D$7:$D$56,MATCH(A234,$A$7:$A$56,0)),"Nº INVÁLIDO"))</f>
        <v/>
      </c>
      <c r="D234" s="380" t="n"/>
      <c r="E234" s="381">
        <f>IF(D234="","",IFERROR(INDEX('Entrada de Dados'!$B$6:$B$196,MATCH(D234,'Entrada de Dados'!$A$6:$A$196,0)),"CÓDIGO INVÁLIDO"))</f>
        <v/>
      </c>
      <c r="F234" s="373" t="n"/>
      <c r="G234" s="375" t="n"/>
      <c r="H234" s="375" t="n"/>
      <c r="I234" s="376">
        <f>IF(G234="",0,MAX(G234-H234,0))</f>
        <v/>
      </c>
      <c r="J234" s="380" t="n"/>
      <c r="K234" s="162">
        <f>IF(AND(A234="",D234="",G234="",H234=""),"",IF(AND(OR(A234&lt;&gt;"",D234&lt;&gt;""),G234=""),"⏳ PENDENTE (falta qtd. apresentada)",IF(AND(G234&lt;&gt;"",OR(A234="",D234="")),"❌ FALTA Nº RECEBIMENTO/ESCOLA",IF(B234="Nº INVÁLIDO","❌ Nº DE RECEBIMENTO INVÁLIDO",IF(E234="CÓDIGO INVÁLIDO","❌ CÓDIGO DE ESCOLA INVÁLIDO",IF(H234&gt;G234,"❌ REJEITADO MAIOR QUE APRESENTADO",IF(AND(A234&lt;&gt;"",SUMIF($A$60:$A$559,A234,$G$60:$G$559)&gt;INDEX($G$7:$G$56,MATCH(A234,$A$7:$A$56,0))+0.01),"❌ DISTRIBUÍDO MAIS QUE O ACEITO NESSE RECEBIMENTO","OK")))))))</f>
        <v/>
      </c>
      <c r="L234" s="389">
        <f>IF(A234="","",ROW()-59)</f>
        <v/>
      </c>
    </row>
    <row r="235" hidden="1" outlineLevel="1" s="163">
      <c r="A235" s="380" t="n"/>
      <c r="B235" s="372">
        <f>IF(A235="","",IFERROR(INDEX($C$7:$C$56,MATCH(A235,$A$7:$A$56,0)),"Nº INVÁLIDO"))</f>
        <v/>
      </c>
      <c r="C235" s="372">
        <f>IF(A235="","",IFERROR(INDEX($D$7:$D$56,MATCH(A235,$A$7:$A$56,0)),"Nº INVÁLIDO"))</f>
        <v/>
      </c>
      <c r="D235" s="380" t="n"/>
      <c r="E235" s="381">
        <f>IF(D235="","",IFERROR(INDEX('Entrada de Dados'!$B$6:$B$196,MATCH(D235,'Entrada de Dados'!$A$6:$A$196,0)),"CÓDIGO INVÁLIDO"))</f>
        <v/>
      </c>
      <c r="F235" s="373" t="n"/>
      <c r="G235" s="375" t="n"/>
      <c r="H235" s="375" t="n"/>
      <c r="I235" s="376">
        <f>IF(G235="",0,MAX(G235-H235,0))</f>
        <v/>
      </c>
      <c r="J235" s="380" t="n"/>
      <c r="K235" s="162">
        <f>IF(AND(A235="",D235="",G235="",H235=""),"",IF(AND(OR(A235&lt;&gt;"",D235&lt;&gt;""),G235=""),"⏳ PENDENTE (falta qtd. apresentada)",IF(AND(G235&lt;&gt;"",OR(A235="",D235="")),"❌ FALTA Nº RECEBIMENTO/ESCOLA",IF(B235="Nº INVÁLIDO","❌ Nº DE RECEBIMENTO INVÁLIDO",IF(E235="CÓDIGO INVÁLIDO","❌ CÓDIGO DE ESCOLA INVÁLIDO",IF(H235&gt;G235,"❌ REJEITADO MAIOR QUE APRESENTADO",IF(AND(A235&lt;&gt;"",SUMIF($A$60:$A$559,A235,$G$60:$G$559)&gt;INDEX($G$7:$G$56,MATCH(A235,$A$7:$A$56,0))+0.01),"❌ DISTRIBUÍDO MAIS QUE O ACEITO NESSE RECEBIMENTO","OK")))))))</f>
        <v/>
      </c>
      <c r="L235" s="389">
        <f>IF(A235="","",ROW()-59)</f>
        <v/>
      </c>
    </row>
    <row r="236" hidden="1" outlineLevel="1" s="163">
      <c r="A236" s="380" t="n"/>
      <c r="B236" s="372">
        <f>IF(A236="","",IFERROR(INDEX($C$7:$C$56,MATCH(A236,$A$7:$A$56,0)),"Nº INVÁLIDO"))</f>
        <v/>
      </c>
      <c r="C236" s="372">
        <f>IF(A236="","",IFERROR(INDEX($D$7:$D$56,MATCH(A236,$A$7:$A$56,0)),"Nº INVÁLIDO"))</f>
        <v/>
      </c>
      <c r="D236" s="380" t="n"/>
      <c r="E236" s="381">
        <f>IF(D236="","",IFERROR(INDEX('Entrada de Dados'!$B$6:$B$196,MATCH(D236,'Entrada de Dados'!$A$6:$A$196,0)),"CÓDIGO INVÁLIDO"))</f>
        <v/>
      </c>
      <c r="F236" s="373" t="n"/>
      <c r="G236" s="375" t="n"/>
      <c r="H236" s="375" t="n"/>
      <c r="I236" s="376">
        <f>IF(G236="",0,MAX(G236-H236,0))</f>
        <v/>
      </c>
      <c r="J236" s="380" t="n"/>
      <c r="K236" s="162">
        <f>IF(AND(A236="",D236="",G236="",H236=""),"",IF(AND(OR(A236&lt;&gt;"",D236&lt;&gt;""),G236=""),"⏳ PENDENTE (falta qtd. apresentada)",IF(AND(G236&lt;&gt;"",OR(A236="",D236="")),"❌ FALTA Nº RECEBIMENTO/ESCOLA",IF(B236="Nº INVÁLIDO","❌ Nº DE RECEBIMENTO INVÁLIDO",IF(E236="CÓDIGO INVÁLIDO","❌ CÓDIGO DE ESCOLA INVÁLIDO",IF(H236&gt;G236,"❌ REJEITADO MAIOR QUE APRESENTADO",IF(AND(A236&lt;&gt;"",SUMIF($A$60:$A$559,A236,$G$60:$G$559)&gt;INDEX($G$7:$G$56,MATCH(A236,$A$7:$A$56,0))+0.01),"❌ DISTRIBUÍDO MAIS QUE O ACEITO NESSE RECEBIMENTO","OK")))))))</f>
        <v/>
      </c>
      <c r="L236" s="389">
        <f>IF(A236="","",ROW()-59)</f>
        <v/>
      </c>
    </row>
    <row r="237" hidden="1" outlineLevel="1" s="163">
      <c r="A237" s="380" t="n"/>
      <c r="B237" s="372">
        <f>IF(A237="","",IFERROR(INDEX($C$7:$C$56,MATCH(A237,$A$7:$A$56,0)),"Nº INVÁLIDO"))</f>
        <v/>
      </c>
      <c r="C237" s="372">
        <f>IF(A237="","",IFERROR(INDEX($D$7:$D$56,MATCH(A237,$A$7:$A$56,0)),"Nº INVÁLIDO"))</f>
        <v/>
      </c>
      <c r="D237" s="380" t="n"/>
      <c r="E237" s="381">
        <f>IF(D237="","",IFERROR(INDEX('Entrada de Dados'!$B$6:$B$196,MATCH(D237,'Entrada de Dados'!$A$6:$A$196,0)),"CÓDIGO INVÁLIDO"))</f>
        <v/>
      </c>
      <c r="F237" s="373" t="n"/>
      <c r="G237" s="375" t="n"/>
      <c r="H237" s="375" t="n"/>
      <c r="I237" s="376">
        <f>IF(G237="",0,MAX(G237-H237,0))</f>
        <v/>
      </c>
      <c r="J237" s="380" t="n"/>
      <c r="K237" s="162">
        <f>IF(AND(A237="",D237="",G237="",H237=""),"",IF(AND(OR(A237&lt;&gt;"",D237&lt;&gt;""),G237=""),"⏳ PENDENTE (falta qtd. apresentada)",IF(AND(G237&lt;&gt;"",OR(A237="",D237="")),"❌ FALTA Nº RECEBIMENTO/ESCOLA",IF(B237="Nº INVÁLIDO","❌ Nº DE RECEBIMENTO INVÁLIDO",IF(E237="CÓDIGO INVÁLIDO","❌ CÓDIGO DE ESCOLA INVÁLIDO",IF(H237&gt;G237,"❌ REJEITADO MAIOR QUE APRESENTADO",IF(AND(A237&lt;&gt;"",SUMIF($A$60:$A$559,A237,$G$60:$G$559)&gt;INDEX($G$7:$G$56,MATCH(A237,$A$7:$A$56,0))+0.01),"❌ DISTRIBUÍDO MAIS QUE O ACEITO NESSE RECEBIMENTO","OK")))))))</f>
        <v/>
      </c>
      <c r="L237" s="389">
        <f>IF(A237="","",ROW()-59)</f>
        <v/>
      </c>
    </row>
    <row r="238" hidden="1" outlineLevel="1" s="163">
      <c r="A238" s="380" t="n"/>
      <c r="B238" s="372">
        <f>IF(A238="","",IFERROR(INDEX($C$7:$C$56,MATCH(A238,$A$7:$A$56,0)),"Nº INVÁLIDO"))</f>
        <v/>
      </c>
      <c r="C238" s="372">
        <f>IF(A238="","",IFERROR(INDEX($D$7:$D$56,MATCH(A238,$A$7:$A$56,0)),"Nº INVÁLIDO"))</f>
        <v/>
      </c>
      <c r="D238" s="380" t="n"/>
      <c r="E238" s="381">
        <f>IF(D238="","",IFERROR(INDEX('Entrada de Dados'!$B$6:$B$196,MATCH(D238,'Entrada de Dados'!$A$6:$A$196,0)),"CÓDIGO INVÁLIDO"))</f>
        <v/>
      </c>
      <c r="F238" s="373" t="n"/>
      <c r="G238" s="375" t="n"/>
      <c r="H238" s="375" t="n"/>
      <c r="I238" s="376">
        <f>IF(G238="",0,MAX(G238-H238,0))</f>
        <v/>
      </c>
      <c r="J238" s="380" t="n"/>
      <c r="K238" s="162">
        <f>IF(AND(A238="",D238="",G238="",H238=""),"",IF(AND(OR(A238&lt;&gt;"",D238&lt;&gt;""),G238=""),"⏳ PENDENTE (falta qtd. apresentada)",IF(AND(G238&lt;&gt;"",OR(A238="",D238="")),"❌ FALTA Nº RECEBIMENTO/ESCOLA",IF(B238="Nº INVÁLIDO","❌ Nº DE RECEBIMENTO INVÁLIDO",IF(E238="CÓDIGO INVÁLIDO","❌ CÓDIGO DE ESCOLA INVÁLIDO",IF(H238&gt;G238,"❌ REJEITADO MAIOR QUE APRESENTADO",IF(AND(A238&lt;&gt;"",SUMIF($A$60:$A$559,A238,$G$60:$G$559)&gt;INDEX($G$7:$G$56,MATCH(A238,$A$7:$A$56,0))+0.01),"❌ DISTRIBUÍDO MAIS QUE O ACEITO NESSE RECEBIMENTO","OK")))))))</f>
        <v/>
      </c>
      <c r="L238" s="389">
        <f>IF(A238="","",ROW()-59)</f>
        <v/>
      </c>
    </row>
    <row r="239" hidden="1" outlineLevel="1" s="163">
      <c r="A239" s="380" t="n"/>
      <c r="B239" s="372">
        <f>IF(A239="","",IFERROR(INDEX($C$7:$C$56,MATCH(A239,$A$7:$A$56,0)),"Nº INVÁLIDO"))</f>
        <v/>
      </c>
      <c r="C239" s="372">
        <f>IF(A239="","",IFERROR(INDEX($D$7:$D$56,MATCH(A239,$A$7:$A$56,0)),"Nº INVÁLIDO"))</f>
        <v/>
      </c>
      <c r="D239" s="380" t="n"/>
      <c r="E239" s="381">
        <f>IF(D239="","",IFERROR(INDEX('Entrada de Dados'!$B$6:$B$196,MATCH(D239,'Entrada de Dados'!$A$6:$A$196,0)),"CÓDIGO INVÁLIDO"))</f>
        <v/>
      </c>
      <c r="F239" s="373" t="n"/>
      <c r="G239" s="375" t="n"/>
      <c r="H239" s="375" t="n"/>
      <c r="I239" s="376">
        <f>IF(G239="",0,MAX(G239-H239,0))</f>
        <v/>
      </c>
      <c r="J239" s="380" t="n"/>
      <c r="K239" s="162">
        <f>IF(AND(A239="",D239="",G239="",H239=""),"",IF(AND(OR(A239&lt;&gt;"",D239&lt;&gt;""),G239=""),"⏳ PENDENTE (falta qtd. apresentada)",IF(AND(G239&lt;&gt;"",OR(A239="",D239="")),"❌ FALTA Nº RECEBIMENTO/ESCOLA",IF(B239="Nº INVÁLIDO","❌ Nº DE RECEBIMENTO INVÁLIDO",IF(E239="CÓDIGO INVÁLIDO","❌ CÓDIGO DE ESCOLA INVÁLIDO",IF(H239&gt;G239,"❌ REJEITADO MAIOR QUE APRESENTADO",IF(AND(A239&lt;&gt;"",SUMIF($A$60:$A$559,A239,$G$60:$G$559)&gt;INDEX($G$7:$G$56,MATCH(A239,$A$7:$A$56,0))+0.01),"❌ DISTRIBUÍDO MAIS QUE O ACEITO NESSE RECEBIMENTO","OK")))))))</f>
        <v/>
      </c>
      <c r="L239" s="389">
        <f>IF(A239="","",ROW()-59)</f>
        <v/>
      </c>
    </row>
    <row r="240" hidden="1" outlineLevel="1" s="163">
      <c r="A240" s="380" t="n"/>
      <c r="B240" s="372">
        <f>IF(A240="","",IFERROR(INDEX($C$7:$C$56,MATCH(A240,$A$7:$A$56,0)),"Nº INVÁLIDO"))</f>
        <v/>
      </c>
      <c r="C240" s="372">
        <f>IF(A240="","",IFERROR(INDEX($D$7:$D$56,MATCH(A240,$A$7:$A$56,0)),"Nº INVÁLIDO"))</f>
        <v/>
      </c>
      <c r="D240" s="380" t="n"/>
      <c r="E240" s="381">
        <f>IF(D240="","",IFERROR(INDEX('Entrada de Dados'!$B$6:$B$196,MATCH(D240,'Entrada de Dados'!$A$6:$A$196,0)),"CÓDIGO INVÁLIDO"))</f>
        <v/>
      </c>
      <c r="F240" s="373" t="n"/>
      <c r="G240" s="375" t="n"/>
      <c r="H240" s="375" t="n"/>
      <c r="I240" s="376">
        <f>IF(G240="",0,MAX(G240-H240,0))</f>
        <v/>
      </c>
      <c r="J240" s="380" t="n"/>
      <c r="K240" s="162">
        <f>IF(AND(A240="",D240="",G240="",H240=""),"",IF(AND(OR(A240&lt;&gt;"",D240&lt;&gt;""),G240=""),"⏳ PENDENTE (falta qtd. apresentada)",IF(AND(G240&lt;&gt;"",OR(A240="",D240="")),"❌ FALTA Nº RECEBIMENTO/ESCOLA",IF(B240="Nº INVÁLIDO","❌ Nº DE RECEBIMENTO INVÁLIDO",IF(E240="CÓDIGO INVÁLIDO","❌ CÓDIGO DE ESCOLA INVÁLIDO",IF(H240&gt;G240,"❌ REJEITADO MAIOR QUE APRESENTADO",IF(AND(A240&lt;&gt;"",SUMIF($A$60:$A$559,A240,$G$60:$G$559)&gt;INDEX($G$7:$G$56,MATCH(A240,$A$7:$A$56,0))+0.01),"❌ DISTRIBUÍDO MAIS QUE O ACEITO NESSE RECEBIMENTO","OK")))))))</f>
        <v/>
      </c>
      <c r="L240" s="389">
        <f>IF(A240="","",ROW()-59)</f>
        <v/>
      </c>
    </row>
    <row r="241" hidden="1" outlineLevel="1" s="163">
      <c r="A241" s="380" t="n"/>
      <c r="B241" s="372">
        <f>IF(A241="","",IFERROR(INDEX($C$7:$C$56,MATCH(A241,$A$7:$A$56,0)),"Nº INVÁLIDO"))</f>
        <v/>
      </c>
      <c r="C241" s="372">
        <f>IF(A241="","",IFERROR(INDEX($D$7:$D$56,MATCH(A241,$A$7:$A$56,0)),"Nº INVÁLIDO"))</f>
        <v/>
      </c>
      <c r="D241" s="380" t="n"/>
      <c r="E241" s="381">
        <f>IF(D241="","",IFERROR(INDEX('Entrada de Dados'!$B$6:$B$196,MATCH(D241,'Entrada de Dados'!$A$6:$A$196,0)),"CÓDIGO INVÁLIDO"))</f>
        <v/>
      </c>
      <c r="F241" s="373" t="n"/>
      <c r="G241" s="375" t="n"/>
      <c r="H241" s="375" t="n"/>
      <c r="I241" s="376">
        <f>IF(G241="",0,MAX(G241-H241,0))</f>
        <v/>
      </c>
      <c r="J241" s="380" t="n"/>
      <c r="K241" s="162">
        <f>IF(AND(A241="",D241="",G241="",H241=""),"",IF(AND(OR(A241&lt;&gt;"",D241&lt;&gt;""),G241=""),"⏳ PENDENTE (falta qtd. apresentada)",IF(AND(G241&lt;&gt;"",OR(A241="",D241="")),"❌ FALTA Nº RECEBIMENTO/ESCOLA",IF(B241="Nº INVÁLIDO","❌ Nº DE RECEBIMENTO INVÁLIDO",IF(E241="CÓDIGO INVÁLIDO","❌ CÓDIGO DE ESCOLA INVÁLIDO",IF(H241&gt;G241,"❌ REJEITADO MAIOR QUE APRESENTADO",IF(AND(A241&lt;&gt;"",SUMIF($A$60:$A$559,A241,$G$60:$G$559)&gt;INDEX($G$7:$G$56,MATCH(A241,$A$7:$A$56,0))+0.01),"❌ DISTRIBUÍDO MAIS QUE O ACEITO NESSE RECEBIMENTO","OK")))))))</f>
        <v/>
      </c>
      <c r="L241" s="389">
        <f>IF(A241="","",ROW()-59)</f>
        <v/>
      </c>
    </row>
    <row r="242" hidden="1" outlineLevel="1" s="163">
      <c r="A242" s="380" t="n"/>
      <c r="B242" s="372">
        <f>IF(A242="","",IFERROR(INDEX($C$7:$C$56,MATCH(A242,$A$7:$A$56,0)),"Nº INVÁLIDO"))</f>
        <v/>
      </c>
      <c r="C242" s="372">
        <f>IF(A242="","",IFERROR(INDEX($D$7:$D$56,MATCH(A242,$A$7:$A$56,0)),"Nº INVÁLIDO"))</f>
        <v/>
      </c>
      <c r="D242" s="380" t="n"/>
      <c r="E242" s="381">
        <f>IF(D242="","",IFERROR(INDEX('Entrada de Dados'!$B$6:$B$196,MATCH(D242,'Entrada de Dados'!$A$6:$A$196,0)),"CÓDIGO INVÁLIDO"))</f>
        <v/>
      </c>
      <c r="F242" s="373" t="n"/>
      <c r="G242" s="375" t="n"/>
      <c r="H242" s="375" t="n"/>
      <c r="I242" s="376">
        <f>IF(G242="",0,MAX(G242-H242,0))</f>
        <v/>
      </c>
      <c r="J242" s="380" t="n"/>
      <c r="K242" s="162">
        <f>IF(AND(A242="",D242="",G242="",H242=""),"",IF(AND(OR(A242&lt;&gt;"",D242&lt;&gt;""),G242=""),"⏳ PENDENTE (falta qtd. apresentada)",IF(AND(G242&lt;&gt;"",OR(A242="",D242="")),"❌ FALTA Nº RECEBIMENTO/ESCOLA",IF(B242="Nº INVÁLIDO","❌ Nº DE RECEBIMENTO INVÁLIDO",IF(E242="CÓDIGO INVÁLIDO","❌ CÓDIGO DE ESCOLA INVÁLIDO",IF(H242&gt;G242,"❌ REJEITADO MAIOR QUE APRESENTADO",IF(AND(A242&lt;&gt;"",SUMIF($A$60:$A$559,A242,$G$60:$G$559)&gt;INDEX($G$7:$G$56,MATCH(A242,$A$7:$A$56,0))+0.01),"❌ DISTRIBUÍDO MAIS QUE O ACEITO NESSE RECEBIMENTO","OK")))))))</f>
        <v/>
      </c>
      <c r="L242" s="389">
        <f>IF(A242="","",ROW()-59)</f>
        <v/>
      </c>
    </row>
    <row r="243" hidden="1" outlineLevel="1" s="163">
      <c r="A243" s="380" t="n"/>
      <c r="B243" s="372">
        <f>IF(A243="","",IFERROR(INDEX($C$7:$C$56,MATCH(A243,$A$7:$A$56,0)),"Nº INVÁLIDO"))</f>
        <v/>
      </c>
      <c r="C243" s="372">
        <f>IF(A243="","",IFERROR(INDEX($D$7:$D$56,MATCH(A243,$A$7:$A$56,0)),"Nº INVÁLIDO"))</f>
        <v/>
      </c>
      <c r="D243" s="380" t="n"/>
      <c r="E243" s="381">
        <f>IF(D243="","",IFERROR(INDEX('Entrada de Dados'!$B$6:$B$196,MATCH(D243,'Entrada de Dados'!$A$6:$A$196,0)),"CÓDIGO INVÁLIDO"))</f>
        <v/>
      </c>
      <c r="F243" s="373" t="n"/>
      <c r="G243" s="375" t="n"/>
      <c r="H243" s="375" t="n"/>
      <c r="I243" s="376">
        <f>IF(G243="",0,MAX(G243-H243,0))</f>
        <v/>
      </c>
      <c r="J243" s="380" t="n"/>
      <c r="K243" s="162">
        <f>IF(AND(A243="",D243="",G243="",H243=""),"",IF(AND(OR(A243&lt;&gt;"",D243&lt;&gt;""),G243=""),"⏳ PENDENTE (falta qtd. apresentada)",IF(AND(G243&lt;&gt;"",OR(A243="",D243="")),"❌ FALTA Nº RECEBIMENTO/ESCOLA",IF(B243="Nº INVÁLIDO","❌ Nº DE RECEBIMENTO INVÁLIDO",IF(E243="CÓDIGO INVÁLIDO","❌ CÓDIGO DE ESCOLA INVÁLIDO",IF(H243&gt;G243,"❌ REJEITADO MAIOR QUE APRESENTADO",IF(AND(A243&lt;&gt;"",SUMIF($A$60:$A$559,A243,$G$60:$G$559)&gt;INDEX($G$7:$G$56,MATCH(A243,$A$7:$A$56,0))+0.01),"❌ DISTRIBUÍDO MAIS QUE O ACEITO NESSE RECEBIMENTO","OK")))))))</f>
        <v/>
      </c>
      <c r="L243" s="389">
        <f>IF(A243="","",ROW()-59)</f>
        <v/>
      </c>
    </row>
    <row r="244" hidden="1" outlineLevel="1" s="163">
      <c r="A244" s="380" t="n"/>
      <c r="B244" s="372">
        <f>IF(A244="","",IFERROR(INDEX($C$7:$C$56,MATCH(A244,$A$7:$A$56,0)),"Nº INVÁLIDO"))</f>
        <v/>
      </c>
      <c r="C244" s="372">
        <f>IF(A244="","",IFERROR(INDEX($D$7:$D$56,MATCH(A244,$A$7:$A$56,0)),"Nº INVÁLIDO"))</f>
        <v/>
      </c>
      <c r="D244" s="380" t="n"/>
      <c r="E244" s="381">
        <f>IF(D244="","",IFERROR(INDEX('Entrada de Dados'!$B$6:$B$196,MATCH(D244,'Entrada de Dados'!$A$6:$A$196,0)),"CÓDIGO INVÁLIDO"))</f>
        <v/>
      </c>
      <c r="F244" s="373" t="n"/>
      <c r="G244" s="375" t="n"/>
      <c r="H244" s="375" t="n"/>
      <c r="I244" s="376">
        <f>IF(G244="",0,MAX(G244-H244,0))</f>
        <v/>
      </c>
      <c r="J244" s="380" t="n"/>
      <c r="K244" s="162">
        <f>IF(AND(A244="",D244="",G244="",H244=""),"",IF(AND(OR(A244&lt;&gt;"",D244&lt;&gt;""),G244=""),"⏳ PENDENTE (falta qtd. apresentada)",IF(AND(G244&lt;&gt;"",OR(A244="",D244="")),"❌ FALTA Nº RECEBIMENTO/ESCOLA",IF(B244="Nº INVÁLIDO","❌ Nº DE RECEBIMENTO INVÁLIDO",IF(E244="CÓDIGO INVÁLIDO","❌ CÓDIGO DE ESCOLA INVÁLIDO",IF(H244&gt;G244,"❌ REJEITADO MAIOR QUE APRESENTADO",IF(AND(A244&lt;&gt;"",SUMIF($A$60:$A$559,A244,$G$60:$G$559)&gt;INDEX($G$7:$G$56,MATCH(A244,$A$7:$A$56,0))+0.01),"❌ DISTRIBUÍDO MAIS QUE O ACEITO NESSE RECEBIMENTO","OK")))))))</f>
        <v/>
      </c>
      <c r="L244" s="389">
        <f>IF(A244="","",ROW()-59)</f>
        <v/>
      </c>
    </row>
    <row r="245" hidden="1" outlineLevel="1" s="163">
      <c r="A245" s="380" t="n"/>
      <c r="B245" s="372">
        <f>IF(A245="","",IFERROR(INDEX($C$7:$C$56,MATCH(A245,$A$7:$A$56,0)),"Nº INVÁLIDO"))</f>
        <v/>
      </c>
      <c r="C245" s="372">
        <f>IF(A245="","",IFERROR(INDEX($D$7:$D$56,MATCH(A245,$A$7:$A$56,0)),"Nº INVÁLIDO"))</f>
        <v/>
      </c>
      <c r="D245" s="380" t="n"/>
      <c r="E245" s="381">
        <f>IF(D245="","",IFERROR(INDEX('Entrada de Dados'!$B$6:$B$196,MATCH(D245,'Entrada de Dados'!$A$6:$A$196,0)),"CÓDIGO INVÁLIDO"))</f>
        <v/>
      </c>
      <c r="F245" s="373" t="n"/>
      <c r="G245" s="375" t="n"/>
      <c r="H245" s="375" t="n"/>
      <c r="I245" s="376">
        <f>IF(G245="",0,MAX(G245-H245,0))</f>
        <v/>
      </c>
      <c r="J245" s="380" t="n"/>
      <c r="K245" s="162">
        <f>IF(AND(A245="",D245="",G245="",H245=""),"",IF(AND(OR(A245&lt;&gt;"",D245&lt;&gt;""),G245=""),"⏳ PENDENTE (falta qtd. apresentada)",IF(AND(G245&lt;&gt;"",OR(A245="",D245="")),"❌ FALTA Nº RECEBIMENTO/ESCOLA",IF(B245="Nº INVÁLIDO","❌ Nº DE RECEBIMENTO INVÁLIDO",IF(E245="CÓDIGO INVÁLIDO","❌ CÓDIGO DE ESCOLA INVÁLIDO",IF(H245&gt;G245,"❌ REJEITADO MAIOR QUE APRESENTADO",IF(AND(A245&lt;&gt;"",SUMIF($A$60:$A$559,A245,$G$60:$G$559)&gt;INDEX($G$7:$G$56,MATCH(A245,$A$7:$A$56,0))+0.01),"❌ DISTRIBUÍDO MAIS QUE O ACEITO NESSE RECEBIMENTO","OK")))))))</f>
        <v/>
      </c>
      <c r="L245" s="389">
        <f>IF(A245="","",ROW()-59)</f>
        <v/>
      </c>
    </row>
    <row r="246" hidden="1" outlineLevel="1" s="163">
      <c r="A246" s="380" t="n"/>
      <c r="B246" s="372">
        <f>IF(A246="","",IFERROR(INDEX($C$7:$C$56,MATCH(A246,$A$7:$A$56,0)),"Nº INVÁLIDO"))</f>
        <v/>
      </c>
      <c r="C246" s="372">
        <f>IF(A246="","",IFERROR(INDEX($D$7:$D$56,MATCH(A246,$A$7:$A$56,0)),"Nº INVÁLIDO"))</f>
        <v/>
      </c>
      <c r="D246" s="380" t="n"/>
      <c r="E246" s="381">
        <f>IF(D246="","",IFERROR(INDEX('Entrada de Dados'!$B$6:$B$196,MATCH(D246,'Entrada de Dados'!$A$6:$A$196,0)),"CÓDIGO INVÁLIDO"))</f>
        <v/>
      </c>
      <c r="F246" s="373" t="n"/>
      <c r="G246" s="375" t="n"/>
      <c r="H246" s="375" t="n"/>
      <c r="I246" s="376">
        <f>IF(G246="",0,MAX(G246-H246,0))</f>
        <v/>
      </c>
      <c r="J246" s="380" t="n"/>
      <c r="K246" s="162">
        <f>IF(AND(A246="",D246="",G246="",H246=""),"",IF(AND(OR(A246&lt;&gt;"",D246&lt;&gt;""),G246=""),"⏳ PENDENTE (falta qtd. apresentada)",IF(AND(G246&lt;&gt;"",OR(A246="",D246="")),"❌ FALTA Nº RECEBIMENTO/ESCOLA",IF(B246="Nº INVÁLIDO","❌ Nº DE RECEBIMENTO INVÁLIDO",IF(E246="CÓDIGO INVÁLIDO","❌ CÓDIGO DE ESCOLA INVÁLIDO",IF(H246&gt;G246,"❌ REJEITADO MAIOR QUE APRESENTADO",IF(AND(A246&lt;&gt;"",SUMIF($A$60:$A$559,A246,$G$60:$G$559)&gt;INDEX($G$7:$G$56,MATCH(A246,$A$7:$A$56,0))+0.01),"❌ DISTRIBUÍDO MAIS QUE O ACEITO NESSE RECEBIMENTO","OK")))))))</f>
        <v/>
      </c>
      <c r="L246" s="389">
        <f>IF(A246="","",ROW()-59)</f>
        <v/>
      </c>
    </row>
    <row r="247" hidden="1" outlineLevel="1" s="163">
      <c r="A247" s="380" t="n"/>
      <c r="B247" s="372">
        <f>IF(A247="","",IFERROR(INDEX($C$7:$C$56,MATCH(A247,$A$7:$A$56,0)),"Nº INVÁLIDO"))</f>
        <v/>
      </c>
      <c r="C247" s="372">
        <f>IF(A247="","",IFERROR(INDEX($D$7:$D$56,MATCH(A247,$A$7:$A$56,0)),"Nº INVÁLIDO"))</f>
        <v/>
      </c>
      <c r="D247" s="380" t="n"/>
      <c r="E247" s="381">
        <f>IF(D247="","",IFERROR(INDEX('Entrada de Dados'!$B$6:$B$196,MATCH(D247,'Entrada de Dados'!$A$6:$A$196,0)),"CÓDIGO INVÁLIDO"))</f>
        <v/>
      </c>
      <c r="F247" s="373" t="n"/>
      <c r="G247" s="375" t="n"/>
      <c r="H247" s="375" t="n"/>
      <c r="I247" s="376">
        <f>IF(G247="",0,MAX(G247-H247,0))</f>
        <v/>
      </c>
      <c r="J247" s="380" t="n"/>
      <c r="K247" s="162">
        <f>IF(AND(A247="",D247="",G247="",H247=""),"",IF(AND(OR(A247&lt;&gt;"",D247&lt;&gt;""),G247=""),"⏳ PENDENTE (falta qtd. apresentada)",IF(AND(G247&lt;&gt;"",OR(A247="",D247="")),"❌ FALTA Nº RECEBIMENTO/ESCOLA",IF(B247="Nº INVÁLIDO","❌ Nº DE RECEBIMENTO INVÁLIDO",IF(E247="CÓDIGO INVÁLIDO","❌ CÓDIGO DE ESCOLA INVÁLIDO",IF(H247&gt;G247,"❌ REJEITADO MAIOR QUE APRESENTADO",IF(AND(A247&lt;&gt;"",SUMIF($A$60:$A$559,A247,$G$60:$G$559)&gt;INDEX($G$7:$G$56,MATCH(A247,$A$7:$A$56,0))+0.01),"❌ DISTRIBUÍDO MAIS QUE O ACEITO NESSE RECEBIMENTO","OK")))))))</f>
        <v/>
      </c>
      <c r="L247" s="389">
        <f>IF(A247="","",ROW()-59)</f>
        <v/>
      </c>
    </row>
    <row r="248" hidden="1" outlineLevel="1" s="163">
      <c r="A248" s="380" t="n"/>
      <c r="B248" s="372">
        <f>IF(A248="","",IFERROR(INDEX($C$7:$C$56,MATCH(A248,$A$7:$A$56,0)),"Nº INVÁLIDO"))</f>
        <v/>
      </c>
      <c r="C248" s="372">
        <f>IF(A248="","",IFERROR(INDEX($D$7:$D$56,MATCH(A248,$A$7:$A$56,0)),"Nº INVÁLIDO"))</f>
        <v/>
      </c>
      <c r="D248" s="380" t="n"/>
      <c r="E248" s="381">
        <f>IF(D248="","",IFERROR(INDEX('Entrada de Dados'!$B$6:$B$196,MATCH(D248,'Entrada de Dados'!$A$6:$A$196,0)),"CÓDIGO INVÁLIDO"))</f>
        <v/>
      </c>
      <c r="F248" s="373" t="n"/>
      <c r="G248" s="375" t="n"/>
      <c r="H248" s="375" t="n"/>
      <c r="I248" s="376">
        <f>IF(G248="",0,MAX(G248-H248,0))</f>
        <v/>
      </c>
      <c r="J248" s="380" t="n"/>
      <c r="K248" s="162">
        <f>IF(AND(A248="",D248="",G248="",H248=""),"",IF(AND(OR(A248&lt;&gt;"",D248&lt;&gt;""),G248=""),"⏳ PENDENTE (falta qtd. apresentada)",IF(AND(G248&lt;&gt;"",OR(A248="",D248="")),"❌ FALTA Nº RECEBIMENTO/ESCOLA",IF(B248="Nº INVÁLIDO","❌ Nº DE RECEBIMENTO INVÁLIDO",IF(E248="CÓDIGO INVÁLIDO","❌ CÓDIGO DE ESCOLA INVÁLIDO",IF(H248&gt;G248,"❌ REJEITADO MAIOR QUE APRESENTADO",IF(AND(A248&lt;&gt;"",SUMIF($A$60:$A$559,A248,$G$60:$G$559)&gt;INDEX($G$7:$G$56,MATCH(A248,$A$7:$A$56,0))+0.01),"❌ DISTRIBUÍDO MAIS QUE O ACEITO NESSE RECEBIMENTO","OK")))))))</f>
        <v/>
      </c>
      <c r="L248" s="389">
        <f>IF(A248="","",ROW()-59)</f>
        <v/>
      </c>
    </row>
    <row r="249" hidden="1" outlineLevel="1" s="163">
      <c r="A249" s="380" t="n"/>
      <c r="B249" s="372">
        <f>IF(A249="","",IFERROR(INDEX($C$7:$C$56,MATCH(A249,$A$7:$A$56,0)),"Nº INVÁLIDO"))</f>
        <v/>
      </c>
      <c r="C249" s="372">
        <f>IF(A249="","",IFERROR(INDEX($D$7:$D$56,MATCH(A249,$A$7:$A$56,0)),"Nº INVÁLIDO"))</f>
        <v/>
      </c>
      <c r="D249" s="380" t="n"/>
      <c r="E249" s="381">
        <f>IF(D249="","",IFERROR(INDEX('Entrada de Dados'!$B$6:$B$196,MATCH(D249,'Entrada de Dados'!$A$6:$A$196,0)),"CÓDIGO INVÁLIDO"))</f>
        <v/>
      </c>
      <c r="F249" s="373" t="n"/>
      <c r="G249" s="375" t="n"/>
      <c r="H249" s="375" t="n"/>
      <c r="I249" s="376">
        <f>IF(G249="",0,MAX(G249-H249,0))</f>
        <v/>
      </c>
      <c r="J249" s="380" t="n"/>
      <c r="K249" s="162">
        <f>IF(AND(A249="",D249="",G249="",H249=""),"",IF(AND(OR(A249&lt;&gt;"",D249&lt;&gt;""),G249=""),"⏳ PENDENTE (falta qtd. apresentada)",IF(AND(G249&lt;&gt;"",OR(A249="",D249="")),"❌ FALTA Nº RECEBIMENTO/ESCOLA",IF(B249="Nº INVÁLIDO","❌ Nº DE RECEBIMENTO INVÁLIDO",IF(E249="CÓDIGO INVÁLIDO","❌ CÓDIGO DE ESCOLA INVÁLIDO",IF(H249&gt;G249,"❌ REJEITADO MAIOR QUE APRESENTADO",IF(AND(A249&lt;&gt;"",SUMIF($A$60:$A$559,A249,$G$60:$G$559)&gt;INDEX($G$7:$G$56,MATCH(A249,$A$7:$A$56,0))+0.01),"❌ DISTRIBUÍDO MAIS QUE O ACEITO NESSE RECEBIMENTO","OK")))))))</f>
        <v/>
      </c>
      <c r="L249" s="389">
        <f>IF(A249="","",ROW()-59)</f>
        <v/>
      </c>
    </row>
    <row r="250" hidden="1" outlineLevel="1" s="163">
      <c r="A250" s="380" t="n"/>
      <c r="B250" s="372">
        <f>IF(A250="","",IFERROR(INDEX($C$7:$C$56,MATCH(A250,$A$7:$A$56,0)),"Nº INVÁLIDO"))</f>
        <v/>
      </c>
      <c r="C250" s="372">
        <f>IF(A250="","",IFERROR(INDEX($D$7:$D$56,MATCH(A250,$A$7:$A$56,0)),"Nº INVÁLIDO"))</f>
        <v/>
      </c>
      <c r="D250" s="380" t="n"/>
      <c r="E250" s="381">
        <f>IF(D250="","",IFERROR(INDEX('Entrada de Dados'!$B$6:$B$196,MATCH(D250,'Entrada de Dados'!$A$6:$A$196,0)),"CÓDIGO INVÁLIDO"))</f>
        <v/>
      </c>
      <c r="F250" s="373" t="n"/>
      <c r="G250" s="375" t="n"/>
      <c r="H250" s="375" t="n"/>
      <c r="I250" s="376">
        <f>IF(G250="",0,MAX(G250-H250,0))</f>
        <v/>
      </c>
      <c r="J250" s="380" t="n"/>
      <c r="K250" s="162">
        <f>IF(AND(A250="",D250="",G250="",H250=""),"",IF(AND(OR(A250&lt;&gt;"",D250&lt;&gt;""),G250=""),"⏳ PENDENTE (falta qtd. apresentada)",IF(AND(G250&lt;&gt;"",OR(A250="",D250="")),"❌ FALTA Nº RECEBIMENTO/ESCOLA",IF(B250="Nº INVÁLIDO","❌ Nº DE RECEBIMENTO INVÁLIDO",IF(E250="CÓDIGO INVÁLIDO","❌ CÓDIGO DE ESCOLA INVÁLIDO",IF(H250&gt;G250,"❌ REJEITADO MAIOR QUE APRESENTADO",IF(AND(A250&lt;&gt;"",SUMIF($A$60:$A$559,A250,$G$60:$G$559)&gt;INDEX($G$7:$G$56,MATCH(A250,$A$7:$A$56,0))+0.01),"❌ DISTRIBUÍDO MAIS QUE O ACEITO NESSE RECEBIMENTO","OK")))))))</f>
        <v/>
      </c>
      <c r="L250" s="389">
        <f>IF(A250="","",ROW()-59)</f>
        <v/>
      </c>
    </row>
    <row r="251" hidden="1" outlineLevel="1" s="163">
      <c r="A251" s="380" t="n"/>
      <c r="B251" s="372">
        <f>IF(A251="","",IFERROR(INDEX($C$7:$C$56,MATCH(A251,$A$7:$A$56,0)),"Nº INVÁLIDO"))</f>
        <v/>
      </c>
      <c r="C251" s="372">
        <f>IF(A251="","",IFERROR(INDEX($D$7:$D$56,MATCH(A251,$A$7:$A$56,0)),"Nº INVÁLIDO"))</f>
        <v/>
      </c>
      <c r="D251" s="380" t="n"/>
      <c r="E251" s="381">
        <f>IF(D251="","",IFERROR(INDEX('Entrada de Dados'!$B$6:$B$196,MATCH(D251,'Entrada de Dados'!$A$6:$A$196,0)),"CÓDIGO INVÁLIDO"))</f>
        <v/>
      </c>
      <c r="F251" s="373" t="n"/>
      <c r="G251" s="375" t="n"/>
      <c r="H251" s="375" t="n"/>
      <c r="I251" s="376">
        <f>IF(G251="",0,MAX(G251-H251,0))</f>
        <v/>
      </c>
      <c r="J251" s="380" t="n"/>
      <c r="K251" s="162">
        <f>IF(AND(A251="",D251="",G251="",H251=""),"",IF(AND(OR(A251&lt;&gt;"",D251&lt;&gt;""),G251=""),"⏳ PENDENTE (falta qtd. apresentada)",IF(AND(G251&lt;&gt;"",OR(A251="",D251="")),"❌ FALTA Nº RECEBIMENTO/ESCOLA",IF(B251="Nº INVÁLIDO","❌ Nº DE RECEBIMENTO INVÁLIDO",IF(E251="CÓDIGO INVÁLIDO","❌ CÓDIGO DE ESCOLA INVÁLIDO",IF(H251&gt;G251,"❌ REJEITADO MAIOR QUE APRESENTADO",IF(AND(A251&lt;&gt;"",SUMIF($A$60:$A$559,A251,$G$60:$G$559)&gt;INDEX($G$7:$G$56,MATCH(A251,$A$7:$A$56,0))+0.01),"❌ DISTRIBUÍDO MAIS QUE O ACEITO NESSE RECEBIMENTO","OK")))))))</f>
        <v/>
      </c>
      <c r="L251" s="389">
        <f>IF(A251="","",ROW()-59)</f>
        <v/>
      </c>
    </row>
    <row r="252" hidden="1" outlineLevel="1" s="163">
      <c r="A252" s="380" t="n"/>
      <c r="B252" s="372">
        <f>IF(A252="","",IFERROR(INDEX($C$7:$C$56,MATCH(A252,$A$7:$A$56,0)),"Nº INVÁLIDO"))</f>
        <v/>
      </c>
      <c r="C252" s="372">
        <f>IF(A252="","",IFERROR(INDEX($D$7:$D$56,MATCH(A252,$A$7:$A$56,0)),"Nº INVÁLIDO"))</f>
        <v/>
      </c>
      <c r="D252" s="380" t="n"/>
      <c r="E252" s="381">
        <f>IF(D252="","",IFERROR(INDEX('Entrada de Dados'!$B$6:$B$196,MATCH(D252,'Entrada de Dados'!$A$6:$A$196,0)),"CÓDIGO INVÁLIDO"))</f>
        <v/>
      </c>
      <c r="F252" s="373" t="n"/>
      <c r="G252" s="375" t="n"/>
      <c r="H252" s="375" t="n"/>
      <c r="I252" s="376">
        <f>IF(G252="",0,MAX(G252-H252,0))</f>
        <v/>
      </c>
      <c r="J252" s="380" t="n"/>
      <c r="K252" s="162">
        <f>IF(AND(A252="",D252="",G252="",H252=""),"",IF(AND(OR(A252&lt;&gt;"",D252&lt;&gt;""),G252=""),"⏳ PENDENTE (falta qtd. apresentada)",IF(AND(G252&lt;&gt;"",OR(A252="",D252="")),"❌ FALTA Nº RECEBIMENTO/ESCOLA",IF(B252="Nº INVÁLIDO","❌ Nº DE RECEBIMENTO INVÁLIDO",IF(E252="CÓDIGO INVÁLIDO","❌ CÓDIGO DE ESCOLA INVÁLIDO",IF(H252&gt;G252,"❌ REJEITADO MAIOR QUE APRESENTADO",IF(AND(A252&lt;&gt;"",SUMIF($A$60:$A$559,A252,$G$60:$G$559)&gt;INDEX($G$7:$G$56,MATCH(A252,$A$7:$A$56,0))+0.01),"❌ DISTRIBUÍDO MAIS QUE O ACEITO NESSE RECEBIMENTO","OK")))))))</f>
        <v/>
      </c>
      <c r="L252" s="389">
        <f>IF(A252="","",ROW()-59)</f>
        <v/>
      </c>
    </row>
    <row r="253" hidden="1" outlineLevel="1" s="163">
      <c r="A253" s="380" t="n"/>
      <c r="B253" s="372">
        <f>IF(A253="","",IFERROR(INDEX($C$7:$C$56,MATCH(A253,$A$7:$A$56,0)),"Nº INVÁLIDO"))</f>
        <v/>
      </c>
      <c r="C253" s="372">
        <f>IF(A253="","",IFERROR(INDEX($D$7:$D$56,MATCH(A253,$A$7:$A$56,0)),"Nº INVÁLIDO"))</f>
        <v/>
      </c>
      <c r="D253" s="380" t="n"/>
      <c r="E253" s="381">
        <f>IF(D253="","",IFERROR(INDEX('Entrada de Dados'!$B$6:$B$196,MATCH(D253,'Entrada de Dados'!$A$6:$A$196,0)),"CÓDIGO INVÁLIDO"))</f>
        <v/>
      </c>
      <c r="F253" s="373" t="n"/>
      <c r="G253" s="375" t="n"/>
      <c r="H253" s="375" t="n"/>
      <c r="I253" s="376">
        <f>IF(G253="",0,MAX(G253-H253,0))</f>
        <v/>
      </c>
      <c r="J253" s="380" t="n"/>
      <c r="K253" s="162">
        <f>IF(AND(A253="",D253="",G253="",H253=""),"",IF(AND(OR(A253&lt;&gt;"",D253&lt;&gt;""),G253=""),"⏳ PENDENTE (falta qtd. apresentada)",IF(AND(G253&lt;&gt;"",OR(A253="",D253="")),"❌ FALTA Nº RECEBIMENTO/ESCOLA",IF(B253="Nº INVÁLIDO","❌ Nº DE RECEBIMENTO INVÁLIDO",IF(E253="CÓDIGO INVÁLIDO","❌ CÓDIGO DE ESCOLA INVÁLIDO",IF(H253&gt;G253,"❌ REJEITADO MAIOR QUE APRESENTADO",IF(AND(A253&lt;&gt;"",SUMIF($A$60:$A$559,A253,$G$60:$G$559)&gt;INDEX($G$7:$G$56,MATCH(A253,$A$7:$A$56,0))+0.01),"❌ DISTRIBUÍDO MAIS QUE O ACEITO NESSE RECEBIMENTO","OK")))))))</f>
        <v/>
      </c>
      <c r="L253" s="389">
        <f>IF(A253="","",ROW()-59)</f>
        <v/>
      </c>
    </row>
    <row r="254" hidden="1" outlineLevel="1" s="163">
      <c r="A254" s="380" t="n"/>
      <c r="B254" s="372">
        <f>IF(A254="","",IFERROR(INDEX($C$7:$C$56,MATCH(A254,$A$7:$A$56,0)),"Nº INVÁLIDO"))</f>
        <v/>
      </c>
      <c r="C254" s="372">
        <f>IF(A254="","",IFERROR(INDEX($D$7:$D$56,MATCH(A254,$A$7:$A$56,0)),"Nº INVÁLIDO"))</f>
        <v/>
      </c>
      <c r="D254" s="380" t="n"/>
      <c r="E254" s="381">
        <f>IF(D254="","",IFERROR(INDEX('Entrada de Dados'!$B$6:$B$196,MATCH(D254,'Entrada de Dados'!$A$6:$A$196,0)),"CÓDIGO INVÁLIDO"))</f>
        <v/>
      </c>
      <c r="F254" s="373" t="n"/>
      <c r="G254" s="375" t="n"/>
      <c r="H254" s="375" t="n"/>
      <c r="I254" s="376">
        <f>IF(G254="",0,MAX(G254-H254,0))</f>
        <v/>
      </c>
      <c r="J254" s="380" t="n"/>
      <c r="K254" s="162">
        <f>IF(AND(A254="",D254="",G254="",H254=""),"",IF(AND(OR(A254&lt;&gt;"",D254&lt;&gt;""),G254=""),"⏳ PENDENTE (falta qtd. apresentada)",IF(AND(G254&lt;&gt;"",OR(A254="",D254="")),"❌ FALTA Nº RECEBIMENTO/ESCOLA",IF(B254="Nº INVÁLIDO","❌ Nº DE RECEBIMENTO INVÁLIDO",IF(E254="CÓDIGO INVÁLIDO","❌ CÓDIGO DE ESCOLA INVÁLIDO",IF(H254&gt;G254,"❌ REJEITADO MAIOR QUE APRESENTADO",IF(AND(A254&lt;&gt;"",SUMIF($A$60:$A$559,A254,$G$60:$G$559)&gt;INDEX($G$7:$G$56,MATCH(A254,$A$7:$A$56,0))+0.01),"❌ DISTRIBUÍDO MAIS QUE O ACEITO NESSE RECEBIMENTO","OK")))))))</f>
        <v/>
      </c>
      <c r="L254" s="389">
        <f>IF(A254="","",ROW()-59)</f>
        <v/>
      </c>
    </row>
    <row r="255" hidden="1" outlineLevel="1" s="163">
      <c r="A255" s="380" t="n"/>
      <c r="B255" s="372">
        <f>IF(A255="","",IFERROR(INDEX($C$7:$C$56,MATCH(A255,$A$7:$A$56,0)),"Nº INVÁLIDO"))</f>
        <v/>
      </c>
      <c r="C255" s="372">
        <f>IF(A255="","",IFERROR(INDEX($D$7:$D$56,MATCH(A255,$A$7:$A$56,0)),"Nº INVÁLIDO"))</f>
        <v/>
      </c>
      <c r="D255" s="380" t="n"/>
      <c r="E255" s="381">
        <f>IF(D255="","",IFERROR(INDEX('Entrada de Dados'!$B$6:$B$196,MATCH(D255,'Entrada de Dados'!$A$6:$A$196,0)),"CÓDIGO INVÁLIDO"))</f>
        <v/>
      </c>
      <c r="F255" s="373" t="n"/>
      <c r="G255" s="375" t="n"/>
      <c r="H255" s="375" t="n"/>
      <c r="I255" s="376">
        <f>IF(G255="",0,MAX(G255-H255,0))</f>
        <v/>
      </c>
      <c r="J255" s="380" t="n"/>
      <c r="K255" s="162">
        <f>IF(AND(A255="",D255="",G255="",H255=""),"",IF(AND(OR(A255&lt;&gt;"",D255&lt;&gt;""),G255=""),"⏳ PENDENTE (falta qtd. apresentada)",IF(AND(G255&lt;&gt;"",OR(A255="",D255="")),"❌ FALTA Nº RECEBIMENTO/ESCOLA",IF(B255="Nº INVÁLIDO","❌ Nº DE RECEBIMENTO INVÁLIDO",IF(E255="CÓDIGO INVÁLIDO","❌ CÓDIGO DE ESCOLA INVÁLIDO",IF(H255&gt;G255,"❌ REJEITADO MAIOR QUE APRESENTADO",IF(AND(A255&lt;&gt;"",SUMIF($A$60:$A$559,A255,$G$60:$G$559)&gt;INDEX($G$7:$G$56,MATCH(A255,$A$7:$A$56,0))+0.01),"❌ DISTRIBUÍDO MAIS QUE O ACEITO NESSE RECEBIMENTO","OK")))))))</f>
        <v/>
      </c>
      <c r="L255" s="389">
        <f>IF(A255="","",ROW()-59)</f>
        <v/>
      </c>
    </row>
    <row r="256" hidden="1" outlineLevel="1" s="163">
      <c r="A256" s="380" t="n"/>
      <c r="B256" s="372">
        <f>IF(A256="","",IFERROR(INDEX($C$7:$C$56,MATCH(A256,$A$7:$A$56,0)),"Nº INVÁLIDO"))</f>
        <v/>
      </c>
      <c r="C256" s="372">
        <f>IF(A256="","",IFERROR(INDEX($D$7:$D$56,MATCH(A256,$A$7:$A$56,0)),"Nº INVÁLIDO"))</f>
        <v/>
      </c>
      <c r="D256" s="380" t="n"/>
      <c r="E256" s="381">
        <f>IF(D256="","",IFERROR(INDEX('Entrada de Dados'!$B$6:$B$196,MATCH(D256,'Entrada de Dados'!$A$6:$A$196,0)),"CÓDIGO INVÁLIDO"))</f>
        <v/>
      </c>
      <c r="F256" s="373" t="n"/>
      <c r="G256" s="375" t="n"/>
      <c r="H256" s="375" t="n"/>
      <c r="I256" s="376">
        <f>IF(G256="",0,MAX(G256-H256,0))</f>
        <v/>
      </c>
      <c r="J256" s="380" t="n"/>
      <c r="K256" s="162">
        <f>IF(AND(A256="",D256="",G256="",H256=""),"",IF(AND(OR(A256&lt;&gt;"",D256&lt;&gt;""),G256=""),"⏳ PENDENTE (falta qtd. apresentada)",IF(AND(G256&lt;&gt;"",OR(A256="",D256="")),"❌ FALTA Nº RECEBIMENTO/ESCOLA",IF(B256="Nº INVÁLIDO","❌ Nº DE RECEBIMENTO INVÁLIDO",IF(E256="CÓDIGO INVÁLIDO","❌ CÓDIGO DE ESCOLA INVÁLIDO",IF(H256&gt;G256,"❌ REJEITADO MAIOR QUE APRESENTADO",IF(AND(A256&lt;&gt;"",SUMIF($A$60:$A$559,A256,$G$60:$G$559)&gt;INDEX($G$7:$G$56,MATCH(A256,$A$7:$A$56,0))+0.01),"❌ DISTRIBUÍDO MAIS QUE O ACEITO NESSE RECEBIMENTO","OK")))))))</f>
        <v/>
      </c>
      <c r="L256" s="389">
        <f>IF(A256="","",ROW()-59)</f>
        <v/>
      </c>
    </row>
    <row r="257" hidden="1" outlineLevel="1" s="163">
      <c r="A257" s="380" t="n"/>
      <c r="B257" s="372">
        <f>IF(A257="","",IFERROR(INDEX($C$7:$C$56,MATCH(A257,$A$7:$A$56,0)),"Nº INVÁLIDO"))</f>
        <v/>
      </c>
      <c r="C257" s="372">
        <f>IF(A257="","",IFERROR(INDEX($D$7:$D$56,MATCH(A257,$A$7:$A$56,0)),"Nº INVÁLIDO"))</f>
        <v/>
      </c>
      <c r="D257" s="380" t="n"/>
      <c r="E257" s="381">
        <f>IF(D257="","",IFERROR(INDEX('Entrada de Dados'!$B$6:$B$196,MATCH(D257,'Entrada de Dados'!$A$6:$A$196,0)),"CÓDIGO INVÁLIDO"))</f>
        <v/>
      </c>
      <c r="F257" s="373" t="n"/>
      <c r="G257" s="375" t="n"/>
      <c r="H257" s="375" t="n"/>
      <c r="I257" s="376">
        <f>IF(G257="",0,MAX(G257-H257,0))</f>
        <v/>
      </c>
      <c r="J257" s="380" t="n"/>
      <c r="K257" s="162">
        <f>IF(AND(A257="",D257="",G257="",H257=""),"",IF(AND(OR(A257&lt;&gt;"",D257&lt;&gt;""),G257=""),"⏳ PENDENTE (falta qtd. apresentada)",IF(AND(G257&lt;&gt;"",OR(A257="",D257="")),"❌ FALTA Nº RECEBIMENTO/ESCOLA",IF(B257="Nº INVÁLIDO","❌ Nº DE RECEBIMENTO INVÁLIDO",IF(E257="CÓDIGO INVÁLIDO","❌ CÓDIGO DE ESCOLA INVÁLIDO",IF(H257&gt;G257,"❌ REJEITADO MAIOR QUE APRESENTADO",IF(AND(A257&lt;&gt;"",SUMIF($A$60:$A$559,A257,$G$60:$G$559)&gt;INDEX($G$7:$G$56,MATCH(A257,$A$7:$A$56,0))+0.01),"❌ DISTRIBUÍDO MAIS QUE O ACEITO NESSE RECEBIMENTO","OK")))))))</f>
        <v/>
      </c>
      <c r="L257" s="389">
        <f>IF(A257="","",ROW()-59)</f>
        <v/>
      </c>
    </row>
    <row r="258" hidden="1" outlineLevel="1" s="163">
      <c r="A258" s="380" t="n"/>
      <c r="B258" s="372">
        <f>IF(A258="","",IFERROR(INDEX($C$7:$C$56,MATCH(A258,$A$7:$A$56,0)),"Nº INVÁLIDO"))</f>
        <v/>
      </c>
      <c r="C258" s="372">
        <f>IF(A258="","",IFERROR(INDEX($D$7:$D$56,MATCH(A258,$A$7:$A$56,0)),"Nº INVÁLIDO"))</f>
        <v/>
      </c>
      <c r="D258" s="380" t="n"/>
      <c r="E258" s="381">
        <f>IF(D258="","",IFERROR(INDEX('Entrada de Dados'!$B$6:$B$196,MATCH(D258,'Entrada de Dados'!$A$6:$A$196,0)),"CÓDIGO INVÁLIDO"))</f>
        <v/>
      </c>
      <c r="F258" s="373" t="n"/>
      <c r="G258" s="375" t="n"/>
      <c r="H258" s="375" t="n"/>
      <c r="I258" s="376">
        <f>IF(G258="",0,MAX(G258-H258,0))</f>
        <v/>
      </c>
      <c r="J258" s="380" t="n"/>
      <c r="K258" s="162">
        <f>IF(AND(A258="",D258="",G258="",H258=""),"",IF(AND(OR(A258&lt;&gt;"",D258&lt;&gt;""),G258=""),"⏳ PENDENTE (falta qtd. apresentada)",IF(AND(G258&lt;&gt;"",OR(A258="",D258="")),"❌ FALTA Nº RECEBIMENTO/ESCOLA",IF(B258="Nº INVÁLIDO","❌ Nº DE RECEBIMENTO INVÁLIDO",IF(E258="CÓDIGO INVÁLIDO","❌ CÓDIGO DE ESCOLA INVÁLIDO",IF(H258&gt;G258,"❌ REJEITADO MAIOR QUE APRESENTADO",IF(AND(A258&lt;&gt;"",SUMIF($A$60:$A$559,A258,$G$60:$G$559)&gt;INDEX($G$7:$G$56,MATCH(A258,$A$7:$A$56,0))+0.01),"❌ DISTRIBUÍDO MAIS QUE O ACEITO NESSE RECEBIMENTO","OK")))))))</f>
        <v/>
      </c>
      <c r="L258" s="389">
        <f>IF(A258="","",ROW()-59)</f>
        <v/>
      </c>
    </row>
    <row r="259" hidden="1" outlineLevel="1" s="163">
      <c r="A259" s="380" t="n"/>
      <c r="B259" s="372">
        <f>IF(A259="","",IFERROR(INDEX($C$7:$C$56,MATCH(A259,$A$7:$A$56,0)),"Nº INVÁLIDO"))</f>
        <v/>
      </c>
      <c r="C259" s="372">
        <f>IF(A259="","",IFERROR(INDEX($D$7:$D$56,MATCH(A259,$A$7:$A$56,0)),"Nº INVÁLIDO"))</f>
        <v/>
      </c>
      <c r="D259" s="380" t="n"/>
      <c r="E259" s="381">
        <f>IF(D259="","",IFERROR(INDEX('Entrada de Dados'!$B$6:$B$196,MATCH(D259,'Entrada de Dados'!$A$6:$A$196,0)),"CÓDIGO INVÁLIDO"))</f>
        <v/>
      </c>
      <c r="F259" s="373" t="n"/>
      <c r="G259" s="375" t="n"/>
      <c r="H259" s="375" t="n"/>
      <c r="I259" s="376">
        <f>IF(G259="",0,MAX(G259-H259,0))</f>
        <v/>
      </c>
      <c r="J259" s="380" t="n"/>
      <c r="K259" s="162">
        <f>IF(AND(A259="",D259="",G259="",H259=""),"",IF(AND(OR(A259&lt;&gt;"",D259&lt;&gt;""),G259=""),"⏳ PENDENTE (falta qtd. apresentada)",IF(AND(G259&lt;&gt;"",OR(A259="",D259="")),"❌ FALTA Nº RECEBIMENTO/ESCOLA",IF(B259="Nº INVÁLIDO","❌ Nº DE RECEBIMENTO INVÁLIDO",IF(E259="CÓDIGO INVÁLIDO","❌ CÓDIGO DE ESCOLA INVÁLIDO",IF(H259&gt;G259,"❌ REJEITADO MAIOR QUE APRESENTADO",IF(AND(A259&lt;&gt;"",SUMIF($A$60:$A$559,A259,$G$60:$G$559)&gt;INDEX($G$7:$G$56,MATCH(A259,$A$7:$A$56,0))+0.01),"❌ DISTRIBUÍDO MAIS QUE O ACEITO NESSE RECEBIMENTO","OK")))))))</f>
        <v/>
      </c>
      <c r="L259" s="389">
        <f>IF(A259="","",ROW()-59)</f>
        <v/>
      </c>
    </row>
    <row r="260" hidden="1" outlineLevel="1" s="163">
      <c r="A260" s="380" t="n"/>
      <c r="B260" s="372">
        <f>IF(A260="","",IFERROR(INDEX($C$7:$C$56,MATCH(A260,$A$7:$A$56,0)),"Nº INVÁLIDO"))</f>
        <v/>
      </c>
      <c r="C260" s="372">
        <f>IF(A260="","",IFERROR(INDEX($D$7:$D$56,MATCH(A260,$A$7:$A$56,0)),"Nº INVÁLIDO"))</f>
        <v/>
      </c>
      <c r="D260" s="380" t="n"/>
      <c r="E260" s="381">
        <f>IF(D260="","",IFERROR(INDEX('Entrada de Dados'!$B$6:$B$196,MATCH(D260,'Entrada de Dados'!$A$6:$A$196,0)),"CÓDIGO INVÁLIDO"))</f>
        <v/>
      </c>
      <c r="F260" s="373" t="n"/>
      <c r="G260" s="375" t="n"/>
      <c r="H260" s="375" t="n"/>
      <c r="I260" s="376">
        <f>IF(G260="",0,MAX(G260-H260,0))</f>
        <v/>
      </c>
      <c r="J260" s="380" t="n"/>
      <c r="K260" s="162">
        <f>IF(AND(A260="",D260="",G260="",H260=""),"",IF(AND(OR(A260&lt;&gt;"",D260&lt;&gt;""),G260=""),"⏳ PENDENTE (falta qtd. apresentada)",IF(AND(G260&lt;&gt;"",OR(A260="",D260="")),"❌ FALTA Nº RECEBIMENTO/ESCOLA",IF(B260="Nº INVÁLIDO","❌ Nº DE RECEBIMENTO INVÁLIDO",IF(E260="CÓDIGO INVÁLIDO","❌ CÓDIGO DE ESCOLA INVÁLIDO",IF(H260&gt;G260,"❌ REJEITADO MAIOR QUE APRESENTADO",IF(AND(A260&lt;&gt;"",SUMIF($A$60:$A$559,A260,$G$60:$G$559)&gt;INDEX($G$7:$G$56,MATCH(A260,$A$7:$A$56,0))+0.01),"❌ DISTRIBUÍDO MAIS QUE O ACEITO NESSE RECEBIMENTO","OK")))))))</f>
        <v/>
      </c>
      <c r="L260" s="389">
        <f>IF(A260="","",ROW()-59)</f>
        <v/>
      </c>
    </row>
    <row r="261" hidden="1" outlineLevel="1" s="163">
      <c r="A261" s="380" t="n"/>
      <c r="B261" s="372">
        <f>IF(A261="","",IFERROR(INDEX($C$7:$C$56,MATCH(A261,$A$7:$A$56,0)),"Nº INVÁLIDO"))</f>
        <v/>
      </c>
      <c r="C261" s="372">
        <f>IF(A261="","",IFERROR(INDEX($D$7:$D$56,MATCH(A261,$A$7:$A$56,0)),"Nº INVÁLIDO"))</f>
        <v/>
      </c>
      <c r="D261" s="380" t="n"/>
      <c r="E261" s="381">
        <f>IF(D261="","",IFERROR(INDEX('Entrada de Dados'!$B$6:$B$196,MATCH(D261,'Entrada de Dados'!$A$6:$A$196,0)),"CÓDIGO INVÁLIDO"))</f>
        <v/>
      </c>
      <c r="F261" s="373" t="n"/>
      <c r="G261" s="375" t="n"/>
      <c r="H261" s="375" t="n"/>
      <c r="I261" s="376">
        <f>IF(G261="",0,MAX(G261-H261,0))</f>
        <v/>
      </c>
      <c r="J261" s="380" t="n"/>
      <c r="K261" s="162">
        <f>IF(AND(A261="",D261="",G261="",H261=""),"",IF(AND(OR(A261&lt;&gt;"",D261&lt;&gt;""),G261=""),"⏳ PENDENTE (falta qtd. apresentada)",IF(AND(G261&lt;&gt;"",OR(A261="",D261="")),"❌ FALTA Nº RECEBIMENTO/ESCOLA",IF(B261="Nº INVÁLIDO","❌ Nº DE RECEBIMENTO INVÁLIDO",IF(E261="CÓDIGO INVÁLIDO","❌ CÓDIGO DE ESCOLA INVÁLIDO",IF(H261&gt;G261,"❌ REJEITADO MAIOR QUE APRESENTADO",IF(AND(A261&lt;&gt;"",SUMIF($A$60:$A$559,A261,$G$60:$G$559)&gt;INDEX($G$7:$G$56,MATCH(A261,$A$7:$A$56,0))+0.01),"❌ DISTRIBUÍDO MAIS QUE O ACEITO NESSE RECEBIMENTO","OK")))))))</f>
        <v/>
      </c>
      <c r="L261" s="389">
        <f>IF(A261="","",ROW()-59)</f>
        <v/>
      </c>
    </row>
    <row r="262" hidden="1" outlineLevel="1" s="163">
      <c r="A262" s="380" t="n"/>
      <c r="B262" s="372">
        <f>IF(A262="","",IFERROR(INDEX($C$7:$C$56,MATCH(A262,$A$7:$A$56,0)),"Nº INVÁLIDO"))</f>
        <v/>
      </c>
      <c r="C262" s="372">
        <f>IF(A262="","",IFERROR(INDEX($D$7:$D$56,MATCH(A262,$A$7:$A$56,0)),"Nº INVÁLIDO"))</f>
        <v/>
      </c>
      <c r="D262" s="380" t="n"/>
      <c r="E262" s="381">
        <f>IF(D262="","",IFERROR(INDEX('Entrada de Dados'!$B$6:$B$196,MATCH(D262,'Entrada de Dados'!$A$6:$A$196,0)),"CÓDIGO INVÁLIDO"))</f>
        <v/>
      </c>
      <c r="F262" s="373" t="n"/>
      <c r="G262" s="375" t="n"/>
      <c r="H262" s="375" t="n"/>
      <c r="I262" s="376">
        <f>IF(G262="",0,MAX(G262-H262,0))</f>
        <v/>
      </c>
      <c r="J262" s="380" t="n"/>
      <c r="K262" s="162">
        <f>IF(AND(A262="",D262="",G262="",H262=""),"",IF(AND(OR(A262&lt;&gt;"",D262&lt;&gt;""),G262=""),"⏳ PENDENTE (falta qtd. apresentada)",IF(AND(G262&lt;&gt;"",OR(A262="",D262="")),"❌ FALTA Nº RECEBIMENTO/ESCOLA",IF(B262="Nº INVÁLIDO","❌ Nº DE RECEBIMENTO INVÁLIDO",IF(E262="CÓDIGO INVÁLIDO","❌ CÓDIGO DE ESCOLA INVÁLIDO",IF(H262&gt;G262,"❌ REJEITADO MAIOR QUE APRESENTADO",IF(AND(A262&lt;&gt;"",SUMIF($A$60:$A$559,A262,$G$60:$G$559)&gt;INDEX($G$7:$G$56,MATCH(A262,$A$7:$A$56,0))+0.01),"❌ DISTRIBUÍDO MAIS QUE O ACEITO NESSE RECEBIMENTO","OK")))))))</f>
        <v/>
      </c>
      <c r="L262" s="389">
        <f>IF(A262="","",ROW()-59)</f>
        <v/>
      </c>
    </row>
    <row r="263" hidden="1" outlineLevel="1" s="163">
      <c r="A263" s="380" t="n"/>
      <c r="B263" s="372">
        <f>IF(A263="","",IFERROR(INDEX($C$7:$C$56,MATCH(A263,$A$7:$A$56,0)),"Nº INVÁLIDO"))</f>
        <v/>
      </c>
      <c r="C263" s="372">
        <f>IF(A263="","",IFERROR(INDEX($D$7:$D$56,MATCH(A263,$A$7:$A$56,0)),"Nº INVÁLIDO"))</f>
        <v/>
      </c>
      <c r="D263" s="380" t="n"/>
      <c r="E263" s="381">
        <f>IF(D263="","",IFERROR(INDEX('Entrada de Dados'!$B$6:$B$196,MATCH(D263,'Entrada de Dados'!$A$6:$A$196,0)),"CÓDIGO INVÁLIDO"))</f>
        <v/>
      </c>
      <c r="F263" s="373" t="n"/>
      <c r="G263" s="375" t="n"/>
      <c r="H263" s="375" t="n"/>
      <c r="I263" s="376">
        <f>IF(G263="",0,MAX(G263-H263,0))</f>
        <v/>
      </c>
      <c r="J263" s="380" t="n"/>
      <c r="K263" s="162">
        <f>IF(AND(A263="",D263="",G263="",H263=""),"",IF(AND(OR(A263&lt;&gt;"",D263&lt;&gt;""),G263=""),"⏳ PENDENTE (falta qtd. apresentada)",IF(AND(G263&lt;&gt;"",OR(A263="",D263="")),"❌ FALTA Nº RECEBIMENTO/ESCOLA",IF(B263="Nº INVÁLIDO","❌ Nº DE RECEBIMENTO INVÁLIDO",IF(E263="CÓDIGO INVÁLIDO","❌ CÓDIGO DE ESCOLA INVÁLIDO",IF(H263&gt;G263,"❌ REJEITADO MAIOR QUE APRESENTADO",IF(AND(A263&lt;&gt;"",SUMIF($A$60:$A$559,A263,$G$60:$G$559)&gt;INDEX($G$7:$G$56,MATCH(A263,$A$7:$A$56,0))+0.01),"❌ DISTRIBUÍDO MAIS QUE O ACEITO NESSE RECEBIMENTO","OK")))))))</f>
        <v/>
      </c>
      <c r="L263" s="389">
        <f>IF(A263="","",ROW()-59)</f>
        <v/>
      </c>
    </row>
    <row r="264" hidden="1" outlineLevel="1" s="163">
      <c r="A264" s="380" t="n"/>
      <c r="B264" s="372">
        <f>IF(A264="","",IFERROR(INDEX($C$7:$C$56,MATCH(A264,$A$7:$A$56,0)),"Nº INVÁLIDO"))</f>
        <v/>
      </c>
      <c r="C264" s="372">
        <f>IF(A264="","",IFERROR(INDEX($D$7:$D$56,MATCH(A264,$A$7:$A$56,0)),"Nº INVÁLIDO"))</f>
        <v/>
      </c>
      <c r="D264" s="380" t="n"/>
      <c r="E264" s="381">
        <f>IF(D264="","",IFERROR(INDEX('Entrada de Dados'!$B$6:$B$196,MATCH(D264,'Entrada de Dados'!$A$6:$A$196,0)),"CÓDIGO INVÁLIDO"))</f>
        <v/>
      </c>
      <c r="F264" s="373" t="n"/>
      <c r="G264" s="375" t="n"/>
      <c r="H264" s="375" t="n"/>
      <c r="I264" s="376">
        <f>IF(G264="",0,MAX(G264-H264,0))</f>
        <v/>
      </c>
      <c r="J264" s="380" t="n"/>
      <c r="K264" s="162">
        <f>IF(AND(A264="",D264="",G264="",H264=""),"",IF(AND(OR(A264&lt;&gt;"",D264&lt;&gt;""),G264=""),"⏳ PENDENTE (falta qtd. apresentada)",IF(AND(G264&lt;&gt;"",OR(A264="",D264="")),"❌ FALTA Nº RECEBIMENTO/ESCOLA",IF(B264="Nº INVÁLIDO","❌ Nº DE RECEBIMENTO INVÁLIDO",IF(E264="CÓDIGO INVÁLIDO","❌ CÓDIGO DE ESCOLA INVÁLIDO",IF(H264&gt;G264,"❌ REJEITADO MAIOR QUE APRESENTADO",IF(AND(A264&lt;&gt;"",SUMIF($A$60:$A$559,A264,$G$60:$G$559)&gt;INDEX($G$7:$G$56,MATCH(A264,$A$7:$A$56,0))+0.01),"❌ DISTRIBUÍDO MAIS QUE O ACEITO NESSE RECEBIMENTO","OK")))))))</f>
        <v/>
      </c>
      <c r="L264" s="389">
        <f>IF(A264="","",ROW()-59)</f>
        <v/>
      </c>
    </row>
    <row r="265" hidden="1" outlineLevel="1" s="163">
      <c r="A265" s="380" t="n"/>
      <c r="B265" s="372">
        <f>IF(A265="","",IFERROR(INDEX($C$7:$C$56,MATCH(A265,$A$7:$A$56,0)),"Nº INVÁLIDO"))</f>
        <v/>
      </c>
      <c r="C265" s="372">
        <f>IF(A265="","",IFERROR(INDEX($D$7:$D$56,MATCH(A265,$A$7:$A$56,0)),"Nº INVÁLIDO"))</f>
        <v/>
      </c>
      <c r="D265" s="380" t="n"/>
      <c r="E265" s="381">
        <f>IF(D265="","",IFERROR(INDEX('Entrada de Dados'!$B$6:$B$196,MATCH(D265,'Entrada de Dados'!$A$6:$A$196,0)),"CÓDIGO INVÁLIDO"))</f>
        <v/>
      </c>
      <c r="F265" s="373" t="n"/>
      <c r="G265" s="375" t="n"/>
      <c r="H265" s="375" t="n"/>
      <c r="I265" s="376">
        <f>IF(G265="",0,MAX(G265-H265,0))</f>
        <v/>
      </c>
      <c r="J265" s="380" t="n"/>
      <c r="K265" s="162">
        <f>IF(AND(A265="",D265="",G265="",H265=""),"",IF(AND(OR(A265&lt;&gt;"",D265&lt;&gt;""),G265=""),"⏳ PENDENTE (falta qtd. apresentada)",IF(AND(G265&lt;&gt;"",OR(A265="",D265="")),"❌ FALTA Nº RECEBIMENTO/ESCOLA",IF(B265="Nº INVÁLIDO","❌ Nº DE RECEBIMENTO INVÁLIDO",IF(E265="CÓDIGO INVÁLIDO","❌ CÓDIGO DE ESCOLA INVÁLIDO",IF(H265&gt;G265,"❌ REJEITADO MAIOR QUE APRESENTADO",IF(AND(A265&lt;&gt;"",SUMIF($A$60:$A$559,A265,$G$60:$G$559)&gt;INDEX($G$7:$G$56,MATCH(A265,$A$7:$A$56,0))+0.01),"❌ DISTRIBUÍDO MAIS QUE O ACEITO NESSE RECEBIMENTO","OK")))))))</f>
        <v/>
      </c>
      <c r="L265" s="389">
        <f>IF(A265="","",ROW()-59)</f>
        <v/>
      </c>
    </row>
    <row r="266" hidden="1" outlineLevel="1" s="163">
      <c r="A266" s="380" t="n"/>
      <c r="B266" s="372">
        <f>IF(A266="","",IFERROR(INDEX($C$7:$C$56,MATCH(A266,$A$7:$A$56,0)),"Nº INVÁLIDO"))</f>
        <v/>
      </c>
      <c r="C266" s="372">
        <f>IF(A266="","",IFERROR(INDEX($D$7:$D$56,MATCH(A266,$A$7:$A$56,0)),"Nº INVÁLIDO"))</f>
        <v/>
      </c>
      <c r="D266" s="380" t="n"/>
      <c r="E266" s="381">
        <f>IF(D266="","",IFERROR(INDEX('Entrada de Dados'!$B$6:$B$196,MATCH(D266,'Entrada de Dados'!$A$6:$A$196,0)),"CÓDIGO INVÁLIDO"))</f>
        <v/>
      </c>
      <c r="F266" s="373" t="n"/>
      <c r="G266" s="375" t="n"/>
      <c r="H266" s="375" t="n"/>
      <c r="I266" s="376">
        <f>IF(G266="",0,MAX(G266-H266,0))</f>
        <v/>
      </c>
      <c r="J266" s="380" t="n"/>
      <c r="K266" s="162">
        <f>IF(AND(A266="",D266="",G266="",H266=""),"",IF(AND(OR(A266&lt;&gt;"",D266&lt;&gt;""),G266=""),"⏳ PENDENTE (falta qtd. apresentada)",IF(AND(G266&lt;&gt;"",OR(A266="",D266="")),"❌ FALTA Nº RECEBIMENTO/ESCOLA",IF(B266="Nº INVÁLIDO","❌ Nº DE RECEBIMENTO INVÁLIDO",IF(E266="CÓDIGO INVÁLIDO","❌ CÓDIGO DE ESCOLA INVÁLIDO",IF(H266&gt;G266,"❌ REJEITADO MAIOR QUE APRESENTADO",IF(AND(A266&lt;&gt;"",SUMIF($A$60:$A$559,A266,$G$60:$G$559)&gt;INDEX($G$7:$G$56,MATCH(A266,$A$7:$A$56,0))+0.01),"❌ DISTRIBUÍDO MAIS QUE O ACEITO NESSE RECEBIMENTO","OK")))))))</f>
        <v/>
      </c>
      <c r="L266" s="389">
        <f>IF(A266="","",ROW()-59)</f>
        <v/>
      </c>
    </row>
    <row r="267" hidden="1" outlineLevel="1" s="163">
      <c r="A267" s="380" t="n"/>
      <c r="B267" s="372">
        <f>IF(A267="","",IFERROR(INDEX($C$7:$C$56,MATCH(A267,$A$7:$A$56,0)),"Nº INVÁLIDO"))</f>
        <v/>
      </c>
      <c r="C267" s="372">
        <f>IF(A267="","",IFERROR(INDEX($D$7:$D$56,MATCH(A267,$A$7:$A$56,0)),"Nº INVÁLIDO"))</f>
        <v/>
      </c>
      <c r="D267" s="380" t="n"/>
      <c r="E267" s="381">
        <f>IF(D267="","",IFERROR(INDEX('Entrada de Dados'!$B$6:$B$196,MATCH(D267,'Entrada de Dados'!$A$6:$A$196,0)),"CÓDIGO INVÁLIDO"))</f>
        <v/>
      </c>
      <c r="F267" s="373" t="n"/>
      <c r="G267" s="375" t="n"/>
      <c r="H267" s="375" t="n"/>
      <c r="I267" s="376">
        <f>IF(G267="",0,MAX(G267-H267,0))</f>
        <v/>
      </c>
      <c r="J267" s="380" t="n"/>
      <c r="K267" s="162">
        <f>IF(AND(A267="",D267="",G267="",H267=""),"",IF(AND(OR(A267&lt;&gt;"",D267&lt;&gt;""),G267=""),"⏳ PENDENTE (falta qtd. apresentada)",IF(AND(G267&lt;&gt;"",OR(A267="",D267="")),"❌ FALTA Nº RECEBIMENTO/ESCOLA",IF(B267="Nº INVÁLIDO","❌ Nº DE RECEBIMENTO INVÁLIDO",IF(E267="CÓDIGO INVÁLIDO","❌ CÓDIGO DE ESCOLA INVÁLIDO",IF(H267&gt;G267,"❌ REJEITADO MAIOR QUE APRESENTADO",IF(AND(A267&lt;&gt;"",SUMIF($A$60:$A$559,A267,$G$60:$G$559)&gt;INDEX($G$7:$G$56,MATCH(A267,$A$7:$A$56,0))+0.01),"❌ DISTRIBUÍDO MAIS QUE O ACEITO NESSE RECEBIMENTO","OK")))))))</f>
        <v/>
      </c>
      <c r="L267" s="389">
        <f>IF(A267="","",ROW()-59)</f>
        <v/>
      </c>
    </row>
    <row r="268" hidden="1" outlineLevel="1" s="163">
      <c r="A268" s="380" t="n"/>
      <c r="B268" s="372">
        <f>IF(A268="","",IFERROR(INDEX($C$7:$C$56,MATCH(A268,$A$7:$A$56,0)),"Nº INVÁLIDO"))</f>
        <v/>
      </c>
      <c r="C268" s="372">
        <f>IF(A268="","",IFERROR(INDEX($D$7:$D$56,MATCH(A268,$A$7:$A$56,0)),"Nº INVÁLIDO"))</f>
        <v/>
      </c>
      <c r="D268" s="380" t="n"/>
      <c r="E268" s="381">
        <f>IF(D268="","",IFERROR(INDEX('Entrada de Dados'!$B$6:$B$196,MATCH(D268,'Entrada de Dados'!$A$6:$A$196,0)),"CÓDIGO INVÁLIDO"))</f>
        <v/>
      </c>
      <c r="F268" s="373" t="n"/>
      <c r="G268" s="375" t="n"/>
      <c r="H268" s="375" t="n"/>
      <c r="I268" s="376">
        <f>IF(G268="",0,MAX(G268-H268,0))</f>
        <v/>
      </c>
      <c r="J268" s="380" t="n"/>
      <c r="K268" s="162">
        <f>IF(AND(A268="",D268="",G268="",H268=""),"",IF(AND(OR(A268&lt;&gt;"",D268&lt;&gt;""),G268=""),"⏳ PENDENTE (falta qtd. apresentada)",IF(AND(G268&lt;&gt;"",OR(A268="",D268="")),"❌ FALTA Nº RECEBIMENTO/ESCOLA",IF(B268="Nº INVÁLIDO","❌ Nº DE RECEBIMENTO INVÁLIDO",IF(E268="CÓDIGO INVÁLIDO","❌ CÓDIGO DE ESCOLA INVÁLIDO",IF(H268&gt;G268,"❌ REJEITADO MAIOR QUE APRESENTADO",IF(AND(A268&lt;&gt;"",SUMIF($A$60:$A$559,A268,$G$60:$G$559)&gt;INDEX($G$7:$G$56,MATCH(A268,$A$7:$A$56,0))+0.01),"❌ DISTRIBUÍDO MAIS QUE O ACEITO NESSE RECEBIMENTO","OK")))))))</f>
        <v/>
      </c>
      <c r="L268" s="389">
        <f>IF(A268="","",ROW()-59)</f>
        <v/>
      </c>
    </row>
    <row r="269" hidden="1" outlineLevel="1" s="163">
      <c r="A269" s="380" t="n"/>
      <c r="B269" s="372">
        <f>IF(A269="","",IFERROR(INDEX($C$7:$C$56,MATCH(A269,$A$7:$A$56,0)),"Nº INVÁLIDO"))</f>
        <v/>
      </c>
      <c r="C269" s="372">
        <f>IF(A269="","",IFERROR(INDEX($D$7:$D$56,MATCH(A269,$A$7:$A$56,0)),"Nº INVÁLIDO"))</f>
        <v/>
      </c>
      <c r="D269" s="380" t="n"/>
      <c r="E269" s="381">
        <f>IF(D269="","",IFERROR(INDEX('Entrada de Dados'!$B$6:$B$196,MATCH(D269,'Entrada de Dados'!$A$6:$A$196,0)),"CÓDIGO INVÁLIDO"))</f>
        <v/>
      </c>
      <c r="F269" s="373" t="n"/>
      <c r="G269" s="375" t="n"/>
      <c r="H269" s="375" t="n"/>
      <c r="I269" s="376">
        <f>IF(G269="",0,MAX(G269-H269,0))</f>
        <v/>
      </c>
      <c r="J269" s="380" t="n"/>
      <c r="K269" s="162">
        <f>IF(AND(A269="",D269="",G269="",H269=""),"",IF(AND(OR(A269&lt;&gt;"",D269&lt;&gt;""),G269=""),"⏳ PENDENTE (falta qtd. apresentada)",IF(AND(G269&lt;&gt;"",OR(A269="",D269="")),"❌ FALTA Nº RECEBIMENTO/ESCOLA",IF(B269="Nº INVÁLIDO","❌ Nº DE RECEBIMENTO INVÁLIDO",IF(E269="CÓDIGO INVÁLIDO","❌ CÓDIGO DE ESCOLA INVÁLIDO",IF(H269&gt;G269,"❌ REJEITADO MAIOR QUE APRESENTADO",IF(AND(A269&lt;&gt;"",SUMIF($A$60:$A$559,A269,$G$60:$G$559)&gt;INDEX($G$7:$G$56,MATCH(A269,$A$7:$A$56,0))+0.01),"❌ DISTRIBUÍDO MAIS QUE O ACEITO NESSE RECEBIMENTO","OK")))))))</f>
        <v/>
      </c>
      <c r="L269" s="389">
        <f>IF(A269="","",ROW()-59)</f>
        <v/>
      </c>
    </row>
    <row r="270" hidden="1" outlineLevel="1" s="163">
      <c r="A270" s="380" t="n"/>
      <c r="B270" s="372">
        <f>IF(A270="","",IFERROR(INDEX($C$7:$C$56,MATCH(A270,$A$7:$A$56,0)),"Nº INVÁLIDO"))</f>
        <v/>
      </c>
      <c r="C270" s="372">
        <f>IF(A270="","",IFERROR(INDEX($D$7:$D$56,MATCH(A270,$A$7:$A$56,0)),"Nº INVÁLIDO"))</f>
        <v/>
      </c>
      <c r="D270" s="380" t="n"/>
      <c r="E270" s="381">
        <f>IF(D270="","",IFERROR(INDEX('Entrada de Dados'!$B$6:$B$196,MATCH(D270,'Entrada de Dados'!$A$6:$A$196,0)),"CÓDIGO INVÁLIDO"))</f>
        <v/>
      </c>
      <c r="F270" s="373" t="n"/>
      <c r="G270" s="375" t="n"/>
      <c r="H270" s="375" t="n"/>
      <c r="I270" s="376">
        <f>IF(G270="",0,MAX(G270-H270,0))</f>
        <v/>
      </c>
      <c r="J270" s="380" t="n"/>
      <c r="K270" s="162">
        <f>IF(AND(A270="",D270="",G270="",H270=""),"",IF(AND(OR(A270&lt;&gt;"",D270&lt;&gt;""),G270=""),"⏳ PENDENTE (falta qtd. apresentada)",IF(AND(G270&lt;&gt;"",OR(A270="",D270="")),"❌ FALTA Nº RECEBIMENTO/ESCOLA",IF(B270="Nº INVÁLIDO","❌ Nº DE RECEBIMENTO INVÁLIDO",IF(E270="CÓDIGO INVÁLIDO","❌ CÓDIGO DE ESCOLA INVÁLIDO",IF(H270&gt;G270,"❌ REJEITADO MAIOR QUE APRESENTADO",IF(AND(A270&lt;&gt;"",SUMIF($A$60:$A$559,A270,$G$60:$G$559)&gt;INDEX($G$7:$G$56,MATCH(A270,$A$7:$A$56,0))+0.01),"❌ DISTRIBUÍDO MAIS QUE O ACEITO NESSE RECEBIMENTO","OK")))))))</f>
        <v/>
      </c>
      <c r="L270" s="389">
        <f>IF(A270="","",ROW()-59)</f>
        <v/>
      </c>
    </row>
    <row r="271" hidden="1" outlineLevel="1" s="163">
      <c r="A271" s="380" t="n"/>
      <c r="B271" s="372">
        <f>IF(A271="","",IFERROR(INDEX($C$7:$C$56,MATCH(A271,$A$7:$A$56,0)),"Nº INVÁLIDO"))</f>
        <v/>
      </c>
      <c r="C271" s="372">
        <f>IF(A271="","",IFERROR(INDEX($D$7:$D$56,MATCH(A271,$A$7:$A$56,0)),"Nº INVÁLIDO"))</f>
        <v/>
      </c>
      <c r="D271" s="380" t="n"/>
      <c r="E271" s="381">
        <f>IF(D271="","",IFERROR(INDEX('Entrada de Dados'!$B$6:$B$196,MATCH(D271,'Entrada de Dados'!$A$6:$A$196,0)),"CÓDIGO INVÁLIDO"))</f>
        <v/>
      </c>
      <c r="F271" s="373" t="n"/>
      <c r="G271" s="375" t="n"/>
      <c r="H271" s="375" t="n"/>
      <c r="I271" s="376">
        <f>IF(G271="",0,MAX(G271-H271,0))</f>
        <v/>
      </c>
      <c r="J271" s="380" t="n"/>
      <c r="K271" s="162">
        <f>IF(AND(A271="",D271="",G271="",H271=""),"",IF(AND(OR(A271&lt;&gt;"",D271&lt;&gt;""),G271=""),"⏳ PENDENTE (falta qtd. apresentada)",IF(AND(G271&lt;&gt;"",OR(A271="",D271="")),"❌ FALTA Nº RECEBIMENTO/ESCOLA",IF(B271="Nº INVÁLIDO","❌ Nº DE RECEBIMENTO INVÁLIDO",IF(E271="CÓDIGO INVÁLIDO","❌ CÓDIGO DE ESCOLA INVÁLIDO",IF(H271&gt;G271,"❌ REJEITADO MAIOR QUE APRESENTADO",IF(AND(A271&lt;&gt;"",SUMIF($A$60:$A$559,A271,$G$60:$G$559)&gt;INDEX($G$7:$G$56,MATCH(A271,$A$7:$A$56,0))+0.01),"❌ DISTRIBUÍDO MAIS QUE O ACEITO NESSE RECEBIMENTO","OK")))))))</f>
        <v/>
      </c>
      <c r="L271" s="389">
        <f>IF(A271="","",ROW()-59)</f>
        <v/>
      </c>
    </row>
    <row r="272" hidden="1" outlineLevel="1" s="163">
      <c r="A272" s="380" t="n"/>
      <c r="B272" s="372">
        <f>IF(A272="","",IFERROR(INDEX($C$7:$C$56,MATCH(A272,$A$7:$A$56,0)),"Nº INVÁLIDO"))</f>
        <v/>
      </c>
      <c r="C272" s="372">
        <f>IF(A272="","",IFERROR(INDEX($D$7:$D$56,MATCH(A272,$A$7:$A$56,0)),"Nº INVÁLIDO"))</f>
        <v/>
      </c>
      <c r="D272" s="380" t="n"/>
      <c r="E272" s="381">
        <f>IF(D272="","",IFERROR(INDEX('Entrada de Dados'!$B$6:$B$196,MATCH(D272,'Entrada de Dados'!$A$6:$A$196,0)),"CÓDIGO INVÁLIDO"))</f>
        <v/>
      </c>
      <c r="F272" s="373" t="n"/>
      <c r="G272" s="375" t="n"/>
      <c r="H272" s="375" t="n"/>
      <c r="I272" s="376">
        <f>IF(G272="",0,MAX(G272-H272,0))</f>
        <v/>
      </c>
      <c r="J272" s="380" t="n"/>
      <c r="K272" s="162">
        <f>IF(AND(A272="",D272="",G272="",H272=""),"",IF(AND(OR(A272&lt;&gt;"",D272&lt;&gt;""),G272=""),"⏳ PENDENTE (falta qtd. apresentada)",IF(AND(G272&lt;&gt;"",OR(A272="",D272="")),"❌ FALTA Nº RECEBIMENTO/ESCOLA",IF(B272="Nº INVÁLIDO","❌ Nº DE RECEBIMENTO INVÁLIDO",IF(E272="CÓDIGO INVÁLIDO","❌ CÓDIGO DE ESCOLA INVÁLIDO",IF(H272&gt;G272,"❌ REJEITADO MAIOR QUE APRESENTADO",IF(AND(A272&lt;&gt;"",SUMIF($A$60:$A$559,A272,$G$60:$G$559)&gt;INDEX($G$7:$G$56,MATCH(A272,$A$7:$A$56,0))+0.01),"❌ DISTRIBUÍDO MAIS QUE O ACEITO NESSE RECEBIMENTO","OK")))))))</f>
        <v/>
      </c>
      <c r="L272" s="389">
        <f>IF(A272="","",ROW()-59)</f>
        <v/>
      </c>
    </row>
    <row r="273" hidden="1" outlineLevel="1" s="163">
      <c r="A273" s="380" t="n"/>
      <c r="B273" s="372">
        <f>IF(A273="","",IFERROR(INDEX($C$7:$C$56,MATCH(A273,$A$7:$A$56,0)),"Nº INVÁLIDO"))</f>
        <v/>
      </c>
      <c r="C273" s="372">
        <f>IF(A273="","",IFERROR(INDEX($D$7:$D$56,MATCH(A273,$A$7:$A$56,0)),"Nº INVÁLIDO"))</f>
        <v/>
      </c>
      <c r="D273" s="380" t="n"/>
      <c r="E273" s="381">
        <f>IF(D273="","",IFERROR(INDEX('Entrada de Dados'!$B$6:$B$196,MATCH(D273,'Entrada de Dados'!$A$6:$A$196,0)),"CÓDIGO INVÁLIDO"))</f>
        <v/>
      </c>
      <c r="F273" s="373" t="n"/>
      <c r="G273" s="375" t="n"/>
      <c r="H273" s="375" t="n"/>
      <c r="I273" s="376">
        <f>IF(G273="",0,MAX(G273-H273,0))</f>
        <v/>
      </c>
      <c r="J273" s="380" t="n"/>
      <c r="K273" s="162">
        <f>IF(AND(A273="",D273="",G273="",H273=""),"",IF(AND(OR(A273&lt;&gt;"",D273&lt;&gt;""),G273=""),"⏳ PENDENTE (falta qtd. apresentada)",IF(AND(G273&lt;&gt;"",OR(A273="",D273="")),"❌ FALTA Nº RECEBIMENTO/ESCOLA",IF(B273="Nº INVÁLIDO","❌ Nº DE RECEBIMENTO INVÁLIDO",IF(E273="CÓDIGO INVÁLIDO","❌ CÓDIGO DE ESCOLA INVÁLIDO",IF(H273&gt;G273,"❌ REJEITADO MAIOR QUE APRESENTADO",IF(AND(A273&lt;&gt;"",SUMIF($A$60:$A$559,A273,$G$60:$G$559)&gt;INDEX($G$7:$G$56,MATCH(A273,$A$7:$A$56,0))+0.01),"❌ DISTRIBUÍDO MAIS QUE O ACEITO NESSE RECEBIMENTO","OK")))))))</f>
        <v/>
      </c>
      <c r="L273" s="389">
        <f>IF(A273="","",ROW()-59)</f>
        <v/>
      </c>
    </row>
    <row r="274" hidden="1" outlineLevel="1" s="163">
      <c r="A274" s="380" t="n"/>
      <c r="B274" s="372">
        <f>IF(A274="","",IFERROR(INDEX($C$7:$C$56,MATCH(A274,$A$7:$A$56,0)),"Nº INVÁLIDO"))</f>
        <v/>
      </c>
      <c r="C274" s="372">
        <f>IF(A274="","",IFERROR(INDEX($D$7:$D$56,MATCH(A274,$A$7:$A$56,0)),"Nº INVÁLIDO"))</f>
        <v/>
      </c>
      <c r="D274" s="380" t="n"/>
      <c r="E274" s="381">
        <f>IF(D274="","",IFERROR(INDEX('Entrada de Dados'!$B$6:$B$196,MATCH(D274,'Entrada de Dados'!$A$6:$A$196,0)),"CÓDIGO INVÁLIDO"))</f>
        <v/>
      </c>
      <c r="F274" s="373" t="n"/>
      <c r="G274" s="375" t="n"/>
      <c r="H274" s="375" t="n"/>
      <c r="I274" s="376">
        <f>IF(G274="",0,MAX(G274-H274,0))</f>
        <v/>
      </c>
      <c r="J274" s="380" t="n"/>
      <c r="K274" s="162">
        <f>IF(AND(A274="",D274="",G274="",H274=""),"",IF(AND(OR(A274&lt;&gt;"",D274&lt;&gt;""),G274=""),"⏳ PENDENTE (falta qtd. apresentada)",IF(AND(G274&lt;&gt;"",OR(A274="",D274="")),"❌ FALTA Nº RECEBIMENTO/ESCOLA",IF(B274="Nº INVÁLIDO","❌ Nº DE RECEBIMENTO INVÁLIDO",IF(E274="CÓDIGO INVÁLIDO","❌ CÓDIGO DE ESCOLA INVÁLIDO",IF(H274&gt;G274,"❌ REJEITADO MAIOR QUE APRESENTADO",IF(AND(A274&lt;&gt;"",SUMIF($A$60:$A$559,A274,$G$60:$G$559)&gt;INDEX($G$7:$G$56,MATCH(A274,$A$7:$A$56,0))+0.01),"❌ DISTRIBUÍDO MAIS QUE O ACEITO NESSE RECEBIMENTO","OK")))))))</f>
        <v/>
      </c>
      <c r="L274" s="389">
        <f>IF(A274="","",ROW()-59)</f>
        <v/>
      </c>
    </row>
    <row r="275" hidden="1" outlineLevel="1" s="163">
      <c r="A275" s="380" t="n"/>
      <c r="B275" s="372">
        <f>IF(A275="","",IFERROR(INDEX($C$7:$C$56,MATCH(A275,$A$7:$A$56,0)),"Nº INVÁLIDO"))</f>
        <v/>
      </c>
      <c r="C275" s="372">
        <f>IF(A275="","",IFERROR(INDEX($D$7:$D$56,MATCH(A275,$A$7:$A$56,0)),"Nº INVÁLIDO"))</f>
        <v/>
      </c>
      <c r="D275" s="380" t="n"/>
      <c r="E275" s="381">
        <f>IF(D275="","",IFERROR(INDEX('Entrada de Dados'!$B$6:$B$196,MATCH(D275,'Entrada de Dados'!$A$6:$A$196,0)),"CÓDIGO INVÁLIDO"))</f>
        <v/>
      </c>
      <c r="F275" s="373" t="n"/>
      <c r="G275" s="375" t="n"/>
      <c r="H275" s="375" t="n"/>
      <c r="I275" s="376">
        <f>IF(G275="",0,MAX(G275-H275,0))</f>
        <v/>
      </c>
      <c r="J275" s="380" t="n"/>
      <c r="K275" s="162">
        <f>IF(AND(A275="",D275="",G275="",H275=""),"",IF(AND(OR(A275&lt;&gt;"",D275&lt;&gt;""),G275=""),"⏳ PENDENTE (falta qtd. apresentada)",IF(AND(G275&lt;&gt;"",OR(A275="",D275="")),"❌ FALTA Nº RECEBIMENTO/ESCOLA",IF(B275="Nº INVÁLIDO","❌ Nº DE RECEBIMENTO INVÁLIDO",IF(E275="CÓDIGO INVÁLIDO","❌ CÓDIGO DE ESCOLA INVÁLIDO",IF(H275&gt;G275,"❌ REJEITADO MAIOR QUE APRESENTADO",IF(AND(A275&lt;&gt;"",SUMIF($A$60:$A$559,A275,$G$60:$G$559)&gt;INDEX($G$7:$G$56,MATCH(A275,$A$7:$A$56,0))+0.01),"❌ DISTRIBUÍDO MAIS QUE O ACEITO NESSE RECEBIMENTO","OK")))))))</f>
        <v/>
      </c>
      <c r="L275" s="389">
        <f>IF(A275="","",ROW()-59)</f>
        <v/>
      </c>
    </row>
    <row r="276" hidden="1" outlineLevel="1" s="163">
      <c r="A276" s="380" t="n"/>
      <c r="B276" s="372">
        <f>IF(A276="","",IFERROR(INDEX($C$7:$C$56,MATCH(A276,$A$7:$A$56,0)),"Nº INVÁLIDO"))</f>
        <v/>
      </c>
      <c r="C276" s="372">
        <f>IF(A276="","",IFERROR(INDEX($D$7:$D$56,MATCH(A276,$A$7:$A$56,0)),"Nº INVÁLIDO"))</f>
        <v/>
      </c>
      <c r="D276" s="380" t="n"/>
      <c r="E276" s="381">
        <f>IF(D276="","",IFERROR(INDEX('Entrada de Dados'!$B$6:$B$196,MATCH(D276,'Entrada de Dados'!$A$6:$A$196,0)),"CÓDIGO INVÁLIDO"))</f>
        <v/>
      </c>
      <c r="F276" s="373" t="n"/>
      <c r="G276" s="375" t="n"/>
      <c r="H276" s="375" t="n"/>
      <c r="I276" s="376">
        <f>IF(G276="",0,MAX(G276-H276,0))</f>
        <v/>
      </c>
      <c r="J276" s="380" t="n"/>
      <c r="K276" s="162">
        <f>IF(AND(A276="",D276="",G276="",H276=""),"",IF(AND(OR(A276&lt;&gt;"",D276&lt;&gt;""),G276=""),"⏳ PENDENTE (falta qtd. apresentada)",IF(AND(G276&lt;&gt;"",OR(A276="",D276="")),"❌ FALTA Nº RECEBIMENTO/ESCOLA",IF(B276="Nº INVÁLIDO","❌ Nº DE RECEBIMENTO INVÁLIDO",IF(E276="CÓDIGO INVÁLIDO","❌ CÓDIGO DE ESCOLA INVÁLIDO",IF(H276&gt;G276,"❌ REJEITADO MAIOR QUE APRESENTADO",IF(AND(A276&lt;&gt;"",SUMIF($A$60:$A$559,A276,$G$60:$G$559)&gt;INDEX($G$7:$G$56,MATCH(A276,$A$7:$A$56,0))+0.01),"❌ DISTRIBUÍDO MAIS QUE O ACEITO NESSE RECEBIMENTO","OK")))))))</f>
        <v/>
      </c>
      <c r="L276" s="389">
        <f>IF(A276="","",ROW()-59)</f>
        <v/>
      </c>
    </row>
    <row r="277" hidden="1" outlineLevel="1" s="163">
      <c r="A277" s="380" t="n"/>
      <c r="B277" s="372">
        <f>IF(A277="","",IFERROR(INDEX($C$7:$C$56,MATCH(A277,$A$7:$A$56,0)),"Nº INVÁLIDO"))</f>
        <v/>
      </c>
      <c r="C277" s="372">
        <f>IF(A277="","",IFERROR(INDEX($D$7:$D$56,MATCH(A277,$A$7:$A$56,0)),"Nº INVÁLIDO"))</f>
        <v/>
      </c>
      <c r="D277" s="380" t="n"/>
      <c r="E277" s="381">
        <f>IF(D277="","",IFERROR(INDEX('Entrada de Dados'!$B$6:$B$196,MATCH(D277,'Entrada de Dados'!$A$6:$A$196,0)),"CÓDIGO INVÁLIDO"))</f>
        <v/>
      </c>
      <c r="F277" s="373" t="n"/>
      <c r="G277" s="375" t="n"/>
      <c r="H277" s="375" t="n"/>
      <c r="I277" s="376">
        <f>IF(G277="",0,MAX(G277-H277,0))</f>
        <v/>
      </c>
      <c r="J277" s="380" t="n"/>
      <c r="K277" s="162">
        <f>IF(AND(A277="",D277="",G277="",H277=""),"",IF(AND(OR(A277&lt;&gt;"",D277&lt;&gt;""),G277=""),"⏳ PENDENTE (falta qtd. apresentada)",IF(AND(G277&lt;&gt;"",OR(A277="",D277="")),"❌ FALTA Nº RECEBIMENTO/ESCOLA",IF(B277="Nº INVÁLIDO","❌ Nº DE RECEBIMENTO INVÁLIDO",IF(E277="CÓDIGO INVÁLIDO","❌ CÓDIGO DE ESCOLA INVÁLIDO",IF(H277&gt;G277,"❌ REJEITADO MAIOR QUE APRESENTADO",IF(AND(A277&lt;&gt;"",SUMIF($A$60:$A$559,A277,$G$60:$G$559)&gt;INDEX($G$7:$G$56,MATCH(A277,$A$7:$A$56,0))+0.01),"❌ DISTRIBUÍDO MAIS QUE O ACEITO NESSE RECEBIMENTO","OK")))))))</f>
        <v/>
      </c>
      <c r="L277" s="389">
        <f>IF(A277="","",ROW()-59)</f>
        <v/>
      </c>
    </row>
    <row r="278" hidden="1" outlineLevel="1" s="163">
      <c r="A278" s="380" t="n"/>
      <c r="B278" s="372">
        <f>IF(A278="","",IFERROR(INDEX($C$7:$C$56,MATCH(A278,$A$7:$A$56,0)),"Nº INVÁLIDO"))</f>
        <v/>
      </c>
      <c r="C278" s="372">
        <f>IF(A278="","",IFERROR(INDEX($D$7:$D$56,MATCH(A278,$A$7:$A$56,0)),"Nº INVÁLIDO"))</f>
        <v/>
      </c>
      <c r="D278" s="380" t="n"/>
      <c r="E278" s="381">
        <f>IF(D278="","",IFERROR(INDEX('Entrada de Dados'!$B$6:$B$196,MATCH(D278,'Entrada de Dados'!$A$6:$A$196,0)),"CÓDIGO INVÁLIDO"))</f>
        <v/>
      </c>
      <c r="F278" s="373" t="n"/>
      <c r="G278" s="375" t="n"/>
      <c r="H278" s="375" t="n"/>
      <c r="I278" s="376">
        <f>IF(G278="",0,MAX(G278-H278,0))</f>
        <v/>
      </c>
      <c r="J278" s="380" t="n"/>
      <c r="K278" s="162">
        <f>IF(AND(A278="",D278="",G278="",H278=""),"",IF(AND(OR(A278&lt;&gt;"",D278&lt;&gt;""),G278=""),"⏳ PENDENTE (falta qtd. apresentada)",IF(AND(G278&lt;&gt;"",OR(A278="",D278="")),"❌ FALTA Nº RECEBIMENTO/ESCOLA",IF(B278="Nº INVÁLIDO","❌ Nº DE RECEBIMENTO INVÁLIDO",IF(E278="CÓDIGO INVÁLIDO","❌ CÓDIGO DE ESCOLA INVÁLIDO",IF(H278&gt;G278,"❌ REJEITADO MAIOR QUE APRESENTADO",IF(AND(A278&lt;&gt;"",SUMIF($A$60:$A$559,A278,$G$60:$G$559)&gt;INDEX($G$7:$G$56,MATCH(A278,$A$7:$A$56,0))+0.01),"❌ DISTRIBUÍDO MAIS QUE O ACEITO NESSE RECEBIMENTO","OK")))))))</f>
        <v/>
      </c>
      <c r="L278" s="389">
        <f>IF(A278="","",ROW()-59)</f>
        <v/>
      </c>
    </row>
    <row r="279" hidden="1" outlineLevel="1" s="163">
      <c r="A279" s="380" t="n"/>
      <c r="B279" s="372">
        <f>IF(A279="","",IFERROR(INDEX($C$7:$C$56,MATCH(A279,$A$7:$A$56,0)),"Nº INVÁLIDO"))</f>
        <v/>
      </c>
      <c r="C279" s="372">
        <f>IF(A279="","",IFERROR(INDEX($D$7:$D$56,MATCH(A279,$A$7:$A$56,0)),"Nº INVÁLIDO"))</f>
        <v/>
      </c>
      <c r="D279" s="380" t="n"/>
      <c r="E279" s="381">
        <f>IF(D279="","",IFERROR(INDEX('Entrada de Dados'!$B$6:$B$196,MATCH(D279,'Entrada de Dados'!$A$6:$A$196,0)),"CÓDIGO INVÁLIDO"))</f>
        <v/>
      </c>
      <c r="F279" s="373" t="n"/>
      <c r="G279" s="375" t="n"/>
      <c r="H279" s="375" t="n"/>
      <c r="I279" s="376">
        <f>IF(G279="",0,MAX(G279-H279,0))</f>
        <v/>
      </c>
      <c r="J279" s="380" t="n"/>
      <c r="K279" s="162">
        <f>IF(AND(A279="",D279="",G279="",H279=""),"",IF(AND(OR(A279&lt;&gt;"",D279&lt;&gt;""),G279=""),"⏳ PENDENTE (falta qtd. apresentada)",IF(AND(G279&lt;&gt;"",OR(A279="",D279="")),"❌ FALTA Nº RECEBIMENTO/ESCOLA",IF(B279="Nº INVÁLIDO","❌ Nº DE RECEBIMENTO INVÁLIDO",IF(E279="CÓDIGO INVÁLIDO","❌ CÓDIGO DE ESCOLA INVÁLIDO",IF(H279&gt;G279,"❌ REJEITADO MAIOR QUE APRESENTADO",IF(AND(A279&lt;&gt;"",SUMIF($A$60:$A$559,A279,$G$60:$G$559)&gt;INDEX($G$7:$G$56,MATCH(A279,$A$7:$A$56,0))+0.01),"❌ DISTRIBUÍDO MAIS QUE O ACEITO NESSE RECEBIMENTO","OK")))))))</f>
        <v/>
      </c>
      <c r="L279" s="389">
        <f>IF(A279="","",ROW()-59)</f>
        <v/>
      </c>
    </row>
    <row r="280" hidden="1" outlineLevel="1" s="163">
      <c r="A280" s="380" t="n"/>
      <c r="B280" s="372">
        <f>IF(A280="","",IFERROR(INDEX($C$7:$C$56,MATCH(A280,$A$7:$A$56,0)),"Nº INVÁLIDO"))</f>
        <v/>
      </c>
      <c r="C280" s="372">
        <f>IF(A280="","",IFERROR(INDEX($D$7:$D$56,MATCH(A280,$A$7:$A$56,0)),"Nº INVÁLIDO"))</f>
        <v/>
      </c>
      <c r="D280" s="380" t="n"/>
      <c r="E280" s="381">
        <f>IF(D280="","",IFERROR(INDEX('Entrada de Dados'!$B$6:$B$196,MATCH(D280,'Entrada de Dados'!$A$6:$A$196,0)),"CÓDIGO INVÁLIDO"))</f>
        <v/>
      </c>
      <c r="F280" s="373" t="n"/>
      <c r="G280" s="375" t="n"/>
      <c r="H280" s="375" t="n"/>
      <c r="I280" s="376">
        <f>IF(G280="",0,MAX(G280-H280,0))</f>
        <v/>
      </c>
      <c r="J280" s="380" t="n"/>
      <c r="K280" s="162">
        <f>IF(AND(A280="",D280="",G280="",H280=""),"",IF(AND(OR(A280&lt;&gt;"",D280&lt;&gt;""),G280=""),"⏳ PENDENTE (falta qtd. apresentada)",IF(AND(G280&lt;&gt;"",OR(A280="",D280="")),"❌ FALTA Nº RECEBIMENTO/ESCOLA",IF(B280="Nº INVÁLIDO","❌ Nº DE RECEBIMENTO INVÁLIDO",IF(E280="CÓDIGO INVÁLIDO","❌ CÓDIGO DE ESCOLA INVÁLIDO",IF(H280&gt;G280,"❌ REJEITADO MAIOR QUE APRESENTADO",IF(AND(A280&lt;&gt;"",SUMIF($A$60:$A$559,A280,$G$60:$G$559)&gt;INDEX($G$7:$G$56,MATCH(A280,$A$7:$A$56,0))+0.01),"❌ DISTRIBUÍDO MAIS QUE O ACEITO NESSE RECEBIMENTO","OK")))))))</f>
        <v/>
      </c>
      <c r="L280" s="389">
        <f>IF(A280="","",ROW()-59)</f>
        <v/>
      </c>
    </row>
    <row r="281" hidden="1" outlineLevel="1" s="163">
      <c r="A281" s="380" t="n"/>
      <c r="B281" s="372">
        <f>IF(A281="","",IFERROR(INDEX($C$7:$C$56,MATCH(A281,$A$7:$A$56,0)),"Nº INVÁLIDO"))</f>
        <v/>
      </c>
      <c r="C281" s="372">
        <f>IF(A281="","",IFERROR(INDEX($D$7:$D$56,MATCH(A281,$A$7:$A$56,0)),"Nº INVÁLIDO"))</f>
        <v/>
      </c>
      <c r="D281" s="380" t="n"/>
      <c r="E281" s="381">
        <f>IF(D281="","",IFERROR(INDEX('Entrada de Dados'!$B$6:$B$196,MATCH(D281,'Entrada de Dados'!$A$6:$A$196,0)),"CÓDIGO INVÁLIDO"))</f>
        <v/>
      </c>
      <c r="F281" s="373" t="n"/>
      <c r="G281" s="375" t="n"/>
      <c r="H281" s="375" t="n"/>
      <c r="I281" s="376">
        <f>IF(G281="",0,MAX(G281-H281,0))</f>
        <v/>
      </c>
      <c r="J281" s="380" t="n"/>
      <c r="K281" s="162">
        <f>IF(AND(A281="",D281="",G281="",H281=""),"",IF(AND(OR(A281&lt;&gt;"",D281&lt;&gt;""),G281=""),"⏳ PENDENTE (falta qtd. apresentada)",IF(AND(G281&lt;&gt;"",OR(A281="",D281="")),"❌ FALTA Nº RECEBIMENTO/ESCOLA",IF(B281="Nº INVÁLIDO","❌ Nº DE RECEBIMENTO INVÁLIDO",IF(E281="CÓDIGO INVÁLIDO","❌ CÓDIGO DE ESCOLA INVÁLIDO",IF(H281&gt;G281,"❌ REJEITADO MAIOR QUE APRESENTADO",IF(AND(A281&lt;&gt;"",SUMIF($A$60:$A$559,A281,$G$60:$G$559)&gt;INDEX($G$7:$G$56,MATCH(A281,$A$7:$A$56,0))+0.01),"❌ DISTRIBUÍDO MAIS QUE O ACEITO NESSE RECEBIMENTO","OK")))))))</f>
        <v/>
      </c>
      <c r="L281" s="389">
        <f>IF(A281="","",ROW()-59)</f>
        <v/>
      </c>
    </row>
    <row r="282" hidden="1" outlineLevel="1" s="163">
      <c r="A282" s="380" t="n"/>
      <c r="B282" s="372">
        <f>IF(A282="","",IFERROR(INDEX($C$7:$C$56,MATCH(A282,$A$7:$A$56,0)),"Nº INVÁLIDO"))</f>
        <v/>
      </c>
      <c r="C282" s="372">
        <f>IF(A282="","",IFERROR(INDEX($D$7:$D$56,MATCH(A282,$A$7:$A$56,0)),"Nº INVÁLIDO"))</f>
        <v/>
      </c>
      <c r="D282" s="380" t="n"/>
      <c r="E282" s="381">
        <f>IF(D282="","",IFERROR(INDEX('Entrada de Dados'!$B$6:$B$196,MATCH(D282,'Entrada de Dados'!$A$6:$A$196,0)),"CÓDIGO INVÁLIDO"))</f>
        <v/>
      </c>
      <c r="F282" s="373" t="n"/>
      <c r="G282" s="375" t="n"/>
      <c r="H282" s="375" t="n"/>
      <c r="I282" s="376">
        <f>IF(G282="",0,MAX(G282-H282,0))</f>
        <v/>
      </c>
      <c r="J282" s="380" t="n"/>
      <c r="K282" s="162">
        <f>IF(AND(A282="",D282="",G282="",H282=""),"",IF(AND(OR(A282&lt;&gt;"",D282&lt;&gt;""),G282=""),"⏳ PENDENTE (falta qtd. apresentada)",IF(AND(G282&lt;&gt;"",OR(A282="",D282="")),"❌ FALTA Nº RECEBIMENTO/ESCOLA",IF(B282="Nº INVÁLIDO","❌ Nº DE RECEBIMENTO INVÁLIDO",IF(E282="CÓDIGO INVÁLIDO","❌ CÓDIGO DE ESCOLA INVÁLIDO",IF(H282&gt;G282,"❌ REJEITADO MAIOR QUE APRESENTADO",IF(AND(A282&lt;&gt;"",SUMIF($A$60:$A$559,A282,$G$60:$G$559)&gt;INDEX($G$7:$G$56,MATCH(A282,$A$7:$A$56,0))+0.01),"❌ DISTRIBUÍDO MAIS QUE O ACEITO NESSE RECEBIMENTO","OK")))))))</f>
        <v/>
      </c>
      <c r="L282" s="389">
        <f>IF(A282="","",ROW()-59)</f>
        <v/>
      </c>
    </row>
    <row r="283" hidden="1" outlineLevel="1" s="163">
      <c r="A283" s="380" t="n"/>
      <c r="B283" s="372">
        <f>IF(A283="","",IFERROR(INDEX($C$7:$C$56,MATCH(A283,$A$7:$A$56,0)),"Nº INVÁLIDO"))</f>
        <v/>
      </c>
      <c r="C283" s="372">
        <f>IF(A283="","",IFERROR(INDEX($D$7:$D$56,MATCH(A283,$A$7:$A$56,0)),"Nº INVÁLIDO"))</f>
        <v/>
      </c>
      <c r="D283" s="380" t="n"/>
      <c r="E283" s="381">
        <f>IF(D283="","",IFERROR(INDEX('Entrada de Dados'!$B$6:$B$196,MATCH(D283,'Entrada de Dados'!$A$6:$A$196,0)),"CÓDIGO INVÁLIDO"))</f>
        <v/>
      </c>
      <c r="F283" s="373" t="n"/>
      <c r="G283" s="375" t="n"/>
      <c r="H283" s="375" t="n"/>
      <c r="I283" s="376">
        <f>IF(G283="",0,MAX(G283-H283,0))</f>
        <v/>
      </c>
      <c r="J283" s="380" t="n"/>
      <c r="K283" s="162">
        <f>IF(AND(A283="",D283="",G283="",H283=""),"",IF(AND(OR(A283&lt;&gt;"",D283&lt;&gt;""),G283=""),"⏳ PENDENTE (falta qtd. apresentada)",IF(AND(G283&lt;&gt;"",OR(A283="",D283="")),"❌ FALTA Nº RECEBIMENTO/ESCOLA",IF(B283="Nº INVÁLIDO","❌ Nº DE RECEBIMENTO INVÁLIDO",IF(E283="CÓDIGO INVÁLIDO","❌ CÓDIGO DE ESCOLA INVÁLIDO",IF(H283&gt;G283,"❌ REJEITADO MAIOR QUE APRESENTADO",IF(AND(A283&lt;&gt;"",SUMIF($A$60:$A$559,A283,$G$60:$G$559)&gt;INDEX($G$7:$G$56,MATCH(A283,$A$7:$A$56,0))+0.01),"❌ DISTRIBUÍDO MAIS QUE O ACEITO NESSE RECEBIMENTO","OK")))))))</f>
        <v/>
      </c>
      <c r="L283" s="389">
        <f>IF(A283="","",ROW()-59)</f>
        <v/>
      </c>
    </row>
    <row r="284" hidden="1" outlineLevel="1" s="163">
      <c r="A284" s="380" t="n"/>
      <c r="B284" s="372">
        <f>IF(A284="","",IFERROR(INDEX($C$7:$C$56,MATCH(A284,$A$7:$A$56,0)),"Nº INVÁLIDO"))</f>
        <v/>
      </c>
      <c r="C284" s="372">
        <f>IF(A284="","",IFERROR(INDEX($D$7:$D$56,MATCH(A284,$A$7:$A$56,0)),"Nº INVÁLIDO"))</f>
        <v/>
      </c>
      <c r="D284" s="380" t="n"/>
      <c r="E284" s="381">
        <f>IF(D284="","",IFERROR(INDEX('Entrada de Dados'!$B$6:$B$196,MATCH(D284,'Entrada de Dados'!$A$6:$A$196,0)),"CÓDIGO INVÁLIDO"))</f>
        <v/>
      </c>
      <c r="F284" s="373" t="n"/>
      <c r="G284" s="375" t="n"/>
      <c r="H284" s="375" t="n"/>
      <c r="I284" s="376">
        <f>IF(G284="",0,MAX(G284-H284,0))</f>
        <v/>
      </c>
      <c r="J284" s="380" t="n"/>
      <c r="K284" s="162">
        <f>IF(AND(A284="",D284="",G284="",H284=""),"",IF(AND(OR(A284&lt;&gt;"",D284&lt;&gt;""),G284=""),"⏳ PENDENTE (falta qtd. apresentada)",IF(AND(G284&lt;&gt;"",OR(A284="",D284="")),"❌ FALTA Nº RECEBIMENTO/ESCOLA",IF(B284="Nº INVÁLIDO","❌ Nº DE RECEBIMENTO INVÁLIDO",IF(E284="CÓDIGO INVÁLIDO","❌ CÓDIGO DE ESCOLA INVÁLIDO",IF(H284&gt;G284,"❌ REJEITADO MAIOR QUE APRESENTADO",IF(AND(A284&lt;&gt;"",SUMIF($A$60:$A$559,A284,$G$60:$G$559)&gt;INDEX($G$7:$G$56,MATCH(A284,$A$7:$A$56,0))+0.01),"❌ DISTRIBUÍDO MAIS QUE O ACEITO NESSE RECEBIMENTO","OK")))))))</f>
        <v/>
      </c>
      <c r="L284" s="389">
        <f>IF(A284="","",ROW()-59)</f>
        <v/>
      </c>
    </row>
    <row r="285" hidden="1" outlineLevel="1" s="163">
      <c r="A285" s="380" t="n"/>
      <c r="B285" s="372">
        <f>IF(A285="","",IFERROR(INDEX($C$7:$C$56,MATCH(A285,$A$7:$A$56,0)),"Nº INVÁLIDO"))</f>
        <v/>
      </c>
      <c r="C285" s="372">
        <f>IF(A285="","",IFERROR(INDEX($D$7:$D$56,MATCH(A285,$A$7:$A$56,0)),"Nº INVÁLIDO"))</f>
        <v/>
      </c>
      <c r="D285" s="380" t="n"/>
      <c r="E285" s="381">
        <f>IF(D285="","",IFERROR(INDEX('Entrada de Dados'!$B$6:$B$196,MATCH(D285,'Entrada de Dados'!$A$6:$A$196,0)),"CÓDIGO INVÁLIDO"))</f>
        <v/>
      </c>
      <c r="F285" s="373" t="n"/>
      <c r="G285" s="375" t="n"/>
      <c r="H285" s="375" t="n"/>
      <c r="I285" s="376">
        <f>IF(G285="",0,MAX(G285-H285,0))</f>
        <v/>
      </c>
      <c r="J285" s="380" t="n"/>
      <c r="K285" s="162">
        <f>IF(AND(A285="",D285="",G285="",H285=""),"",IF(AND(OR(A285&lt;&gt;"",D285&lt;&gt;""),G285=""),"⏳ PENDENTE (falta qtd. apresentada)",IF(AND(G285&lt;&gt;"",OR(A285="",D285="")),"❌ FALTA Nº RECEBIMENTO/ESCOLA",IF(B285="Nº INVÁLIDO","❌ Nº DE RECEBIMENTO INVÁLIDO",IF(E285="CÓDIGO INVÁLIDO","❌ CÓDIGO DE ESCOLA INVÁLIDO",IF(H285&gt;G285,"❌ REJEITADO MAIOR QUE APRESENTADO",IF(AND(A285&lt;&gt;"",SUMIF($A$60:$A$559,A285,$G$60:$G$559)&gt;INDEX($G$7:$G$56,MATCH(A285,$A$7:$A$56,0))+0.01),"❌ DISTRIBUÍDO MAIS QUE O ACEITO NESSE RECEBIMENTO","OK")))))))</f>
        <v/>
      </c>
      <c r="L285" s="389">
        <f>IF(A285="","",ROW()-59)</f>
        <v/>
      </c>
    </row>
    <row r="286" hidden="1" outlineLevel="1" s="163">
      <c r="A286" s="380" t="n"/>
      <c r="B286" s="372">
        <f>IF(A286="","",IFERROR(INDEX($C$7:$C$56,MATCH(A286,$A$7:$A$56,0)),"Nº INVÁLIDO"))</f>
        <v/>
      </c>
      <c r="C286" s="372">
        <f>IF(A286="","",IFERROR(INDEX($D$7:$D$56,MATCH(A286,$A$7:$A$56,0)),"Nº INVÁLIDO"))</f>
        <v/>
      </c>
      <c r="D286" s="380" t="n"/>
      <c r="E286" s="381">
        <f>IF(D286="","",IFERROR(INDEX('Entrada de Dados'!$B$6:$B$196,MATCH(D286,'Entrada de Dados'!$A$6:$A$196,0)),"CÓDIGO INVÁLIDO"))</f>
        <v/>
      </c>
      <c r="F286" s="373" t="n"/>
      <c r="G286" s="375" t="n"/>
      <c r="H286" s="375" t="n"/>
      <c r="I286" s="376">
        <f>IF(G286="",0,MAX(G286-H286,0))</f>
        <v/>
      </c>
      <c r="J286" s="380" t="n"/>
      <c r="K286" s="162">
        <f>IF(AND(A286="",D286="",G286="",H286=""),"",IF(AND(OR(A286&lt;&gt;"",D286&lt;&gt;""),G286=""),"⏳ PENDENTE (falta qtd. apresentada)",IF(AND(G286&lt;&gt;"",OR(A286="",D286="")),"❌ FALTA Nº RECEBIMENTO/ESCOLA",IF(B286="Nº INVÁLIDO","❌ Nº DE RECEBIMENTO INVÁLIDO",IF(E286="CÓDIGO INVÁLIDO","❌ CÓDIGO DE ESCOLA INVÁLIDO",IF(H286&gt;G286,"❌ REJEITADO MAIOR QUE APRESENTADO",IF(AND(A286&lt;&gt;"",SUMIF($A$60:$A$559,A286,$G$60:$G$559)&gt;INDEX($G$7:$G$56,MATCH(A286,$A$7:$A$56,0))+0.01),"❌ DISTRIBUÍDO MAIS QUE O ACEITO NESSE RECEBIMENTO","OK")))))))</f>
        <v/>
      </c>
      <c r="L286" s="389">
        <f>IF(A286="","",ROW()-59)</f>
        <v/>
      </c>
    </row>
    <row r="287" hidden="1" outlineLevel="1" s="163">
      <c r="A287" s="380" t="n"/>
      <c r="B287" s="372">
        <f>IF(A287="","",IFERROR(INDEX($C$7:$C$56,MATCH(A287,$A$7:$A$56,0)),"Nº INVÁLIDO"))</f>
        <v/>
      </c>
      <c r="C287" s="372">
        <f>IF(A287="","",IFERROR(INDEX($D$7:$D$56,MATCH(A287,$A$7:$A$56,0)),"Nº INVÁLIDO"))</f>
        <v/>
      </c>
      <c r="D287" s="380" t="n"/>
      <c r="E287" s="381">
        <f>IF(D287="","",IFERROR(INDEX('Entrada de Dados'!$B$6:$B$196,MATCH(D287,'Entrada de Dados'!$A$6:$A$196,0)),"CÓDIGO INVÁLIDO"))</f>
        <v/>
      </c>
      <c r="F287" s="373" t="n"/>
      <c r="G287" s="375" t="n"/>
      <c r="H287" s="375" t="n"/>
      <c r="I287" s="376">
        <f>IF(G287="",0,MAX(G287-H287,0))</f>
        <v/>
      </c>
      <c r="J287" s="380" t="n"/>
      <c r="K287" s="162">
        <f>IF(AND(A287="",D287="",G287="",H287=""),"",IF(AND(OR(A287&lt;&gt;"",D287&lt;&gt;""),G287=""),"⏳ PENDENTE (falta qtd. apresentada)",IF(AND(G287&lt;&gt;"",OR(A287="",D287="")),"❌ FALTA Nº RECEBIMENTO/ESCOLA",IF(B287="Nº INVÁLIDO","❌ Nº DE RECEBIMENTO INVÁLIDO",IF(E287="CÓDIGO INVÁLIDO","❌ CÓDIGO DE ESCOLA INVÁLIDO",IF(H287&gt;G287,"❌ REJEITADO MAIOR QUE APRESENTADO",IF(AND(A287&lt;&gt;"",SUMIF($A$60:$A$559,A287,$G$60:$G$559)&gt;INDEX($G$7:$G$56,MATCH(A287,$A$7:$A$56,0))+0.01),"❌ DISTRIBUÍDO MAIS QUE O ACEITO NESSE RECEBIMENTO","OK")))))))</f>
        <v/>
      </c>
      <c r="L287" s="389">
        <f>IF(A287="","",ROW()-59)</f>
        <v/>
      </c>
    </row>
    <row r="288" hidden="1" outlineLevel="1" s="163">
      <c r="A288" s="380" t="n"/>
      <c r="B288" s="372">
        <f>IF(A288="","",IFERROR(INDEX($C$7:$C$56,MATCH(A288,$A$7:$A$56,0)),"Nº INVÁLIDO"))</f>
        <v/>
      </c>
      <c r="C288" s="372">
        <f>IF(A288="","",IFERROR(INDEX($D$7:$D$56,MATCH(A288,$A$7:$A$56,0)),"Nº INVÁLIDO"))</f>
        <v/>
      </c>
      <c r="D288" s="380" t="n"/>
      <c r="E288" s="381">
        <f>IF(D288="","",IFERROR(INDEX('Entrada de Dados'!$B$6:$B$196,MATCH(D288,'Entrada de Dados'!$A$6:$A$196,0)),"CÓDIGO INVÁLIDO"))</f>
        <v/>
      </c>
      <c r="F288" s="373" t="n"/>
      <c r="G288" s="375" t="n"/>
      <c r="H288" s="375" t="n"/>
      <c r="I288" s="376">
        <f>IF(G288="",0,MAX(G288-H288,0))</f>
        <v/>
      </c>
      <c r="J288" s="380" t="n"/>
      <c r="K288" s="162">
        <f>IF(AND(A288="",D288="",G288="",H288=""),"",IF(AND(OR(A288&lt;&gt;"",D288&lt;&gt;""),G288=""),"⏳ PENDENTE (falta qtd. apresentada)",IF(AND(G288&lt;&gt;"",OR(A288="",D288="")),"❌ FALTA Nº RECEBIMENTO/ESCOLA",IF(B288="Nº INVÁLIDO","❌ Nº DE RECEBIMENTO INVÁLIDO",IF(E288="CÓDIGO INVÁLIDO","❌ CÓDIGO DE ESCOLA INVÁLIDO",IF(H288&gt;G288,"❌ REJEITADO MAIOR QUE APRESENTADO",IF(AND(A288&lt;&gt;"",SUMIF($A$60:$A$559,A288,$G$60:$G$559)&gt;INDEX($G$7:$G$56,MATCH(A288,$A$7:$A$56,0))+0.01),"❌ DISTRIBUÍDO MAIS QUE O ACEITO NESSE RECEBIMENTO","OK")))))))</f>
        <v/>
      </c>
      <c r="L288" s="389">
        <f>IF(A288="","",ROW()-59)</f>
        <v/>
      </c>
    </row>
    <row r="289" hidden="1" outlineLevel="1" s="163">
      <c r="A289" s="380" t="n"/>
      <c r="B289" s="372">
        <f>IF(A289="","",IFERROR(INDEX($C$7:$C$56,MATCH(A289,$A$7:$A$56,0)),"Nº INVÁLIDO"))</f>
        <v/>
      </c>
      <c r="C289" s="372">
        <f>IF(A289="","",IFERROR(INDEX($D$7:$D$56,MATCH(A289,$A$7:$A$56,0)),"Nº INVÁLIDO"))</f>
        <v/>
      </c>
      <c r="D289" s="380" t="n"/>
      <c r="E289" s="381">
        <f>IF(D289="","",IFERROR(INDEX('Entrada de Dados'!$B$6:$B$196,MATCH(D289,'Entrada de Dados'!$A$6:$A$196,0)),"CÓDIGO INVÁLIDO"))</f>
        <v/>
      </c>
      <c r="F289" s="373" t="n"/>
      <c r="G289" s="375" t="n"/>
      <c r="H289" s="375" t="n"/>
      <c r="I289" s="376">
        <f>IF(G289="",0,MAX(G289-H289,0))</f>
        <v/>
      </c>
      <c r="J289" s="380" t="n"/>
      <c r="K289" s="162">
        <f>IF(AND(A289="",D289="",G289="",H289=""),"",IF(AND(OR(A289&lt;&gt;"",D289&lt;&gt;""),G289=""),"⏳ PENDENTE (falta qtd. apresentada)",IF(AND(G289&lt;&gt;"",OR(A289="",D289="")),"❌ FALTA Nº RECEBIMENTO/ESCOLA",IF(B289="Nº INVÁLIDO","❌ Nº DE RECEBIMENTO INVÁLIDO",IF(E289="CÓDIGO INVÁLIDO","❌ CÓDIGO DE ESCOLA INVÁLIDO",IF(H289&gt;G289,"❌ REJEITADO MAIOR QUE APRESENTADO",IF(AND(A289&lt;&gt;"",SUMIF($A$60:$A$559,A289,$G$60:$G$559)&gt;INDEX($G$7:$G$56,MATCH(A289,$A$7:$A$56,0))+0.01),"❌ DISTRIBUÍDO MAIS QUE O ACEITO NESSE RECEBIMENTO","OK")))))))</f>
        <v/>
      </c>
      <c r="L289" s="389">
        <f>IF(A289="","",ROW()-59)</f>
        <v/>
      </c>
    </row>
    <row r="290" hidden="1" outlineLevel="1" s="163">
      <c r="A290" s="380" t="n"/>
      <c r="B290" s="372">
        <f>IF(A290="","",IFERROR(INDEX($C$7:$C$56,MATCH(A290,$A$7:$A$56,0)),"Nº INVÁLIDO"))</f>
        <v/>
      </c>
      <c r="C290" s="372">
        <f>IF(A290="","",IFERROR(INDEX($D$7:$D$56,MATCH(A290,$A$7:$A$56,0)),"Nº INVÁLIDO"))</f>
        <v/>
      </c>
      <c r="D290" s="380" t="n"/>
      <c r="E290" s="381">
        <f>IF(D290="","",IFERROR(INDEX('Entrada de Dados'!$B$6:$B$196,MATCH(D290,'Entrada de Dados'!$A$6:$A$196,0)),"CÓDIGO INVÁLIDO"))</f>
        <v/>
      </c>
      <c r="F290" s="373" t="n"/>
      <c r="G290" s="375" t="n"/>
      <c r="H290" s="375" t="n"/>
      <c r="I290" s="376">
        <f>IF(G290="",0,MAX(G290-H290,0))</f>
        <v/>
      </c>
      <c r="J290" s="380" t="n"/>
      <c r="K290" s="162">
        <f>IF(AND(A290="",D290="",G290="",H290=""),"",IF(AND(OR(A290&lt;&gt;"",D290&lt;&gt;""),G290=""),"⏳ PENDENTE (falta qtd. apresentada)",IF(AND(G290&lt;&gt;"",OR(A290="",D290="")),"❌ FALTA Nº RECEBIMENTO/ESCOLA",IF(B290="Nº INVÁLIDO","❌ Nº DE RECEBIMENTO INVÁLIDO",IF(E290="CÓDIGO INVÁLIDO","❌ CÓDIGO DE ESCOLA INVÁLIDO",IF(H290&gt;G290,"❌ REJEITADO MAIOR QUE APRESENTADO",IF(AND(A290&lt;&gt;"",SUMIF($A$60:$A$559,A290,$G$60:$G$559)&gt;INDEX($G$7:$G$56,MATCH(A290,$A$7:$A$56,0))+0.01),"❌ DISTRIBUÍDO MAIS QUE O ACEITO NESSE RECEBIMENTO","OK")))))))</f>
        <v/>
      </c>
      <c r="L290" s="389">
        <f>IF(A290="","",ROW()-59)</f>
        <v/>
      </c>
    </row>
    <row r="291" hidden="1" outlineLevel="1" s="163">
      <c r="A291" s="380" t="n"/>
      <c r="B291" s="372">
        <f>IF(A291="","",IFERROR(INDEX($C$7:$C$56,MATCH(A291,$A$7:$A$56,0)),"Nº INVÁLIDO"))</f>
        <v/>
      </c>
      <c r="C291" s="372">
        <f>IF(A291="","",IFERROR(INDEX($D$7:$D$56,MATCH(A291,$A$7:$A$56,0)),"Nº INVÁLIDO"))</f>
        <v/>
      </c>
      <c r="D291" s="380" t="n"/>
      <c r="E291" s="381">
        <f>IF(D291="","",IFERROR(INDEX('Entrada de Dados'!$B$6:$B$196,MATCH(D291,'Entrada de Dados'!$A$6:$A$196,0)),"CÓDIGO INVÁLIDO"))</f>
        <v/>
      </c>
      <c r="F291" s="373" t="n"/>
      <c r="G291" s="375" t="n"/>
      <c r="H291" s="375" t="n"/>
      <c r="I291" s="376">
        <f>IF(G291="",0,MAX(G291-H291,0))</f>
        <v/>
      </c>
      <c r="J291" s="380" t="n"/>
      <c r="K291" s="162">
        <f>IF(AND(A291="",D291="",G291="",H291=""),"",IF(AND(OR(A291&lt;&gt;"",D291&lt;&gt;""),G291=""),"⏳ PENDENTE (falta qtd. apresentada)",IF(AND(G291&lt;&gt;"",OR(A291="",D291="")),"❌ FALTA Nº RECEBIMENTO/ESCOLA",IF(B291="Nº INVÁLIDO","❌ Nº DE RECEBIMENTO INVÁLIDO",IF(E291="CÓDIGO INVÁLIDO","❌ CÓDIGO DE ESCOLA INVÁLIDO",IF(H291&gt;G291,"❌ REJEITADO MAIOR QUE APRESENTADO",IF(AND(A291&lt;&gt;"",SUMIF($A$60:$A$559,A291,$G$60:$G$559)&gt;INDEX($G$7:$G$56,MATCH(A291,$A$7:$A$56,0))+0.01),"❌ DISTRIBUÍDO MAIS QUE O ACEITO NESSE RECEBIMENTO","OK")))))))</f>
        <v/>
      </c>
      <c r="L291" s="389">
        <f>IF(A291="","",ROW()-59)</f>
        <v/>
      </c>
    </row>
    <row r="292" hidden="1" outlineLevel="1" s="163">
      <c r="A292" s="380" t="n"/>
      <c r="B292" s="372">
        <f>IF(A292="","",IFERROR(INDEX($C$7:$C$56,MATCH(A292,$A$7:$A$56,0)),"Nº INVÁLIDO"))</f>
        <v/>
      </c>
      <c r="C292" s="372">
        <f>IF(A292="","",IFERROR(INDEX($D$7:$D$56,MATCH(A292,$A$7:$A$56,0)),"Nº INVÁLIDO"))</f>
        <v/>
      </c>
      <c r="D292" s="380" t="n"/>
      <c r="E292" s="381">
        <f>IF(D292="","",IFERROR(INDEX('Entrada de Dados'!$B$6:$B$196,MATCH(D292,'Entrada de Dados'!$A$6:$A$196,0)),"CÓDIGO INVÁLIDO"))</f>
        <v/>
      </c>
      <c r="F292" s="373" t="n"/>
      <c r="G292" s="375" t="n"/>
      <c r="H292" s="375" t="n"/>
      <c r="I292" s="376">
        <f>IF(G292="",0,MAX(G292-H292,0))</f>
        <v/>
      </c>
      <c r="J292" s="380" t="n"/>
      <c r="K292" s="162">
        <f>IF(AND(A292="",D292="",G292="",H292=""),"",IF(AND(OR(A292&lt;&gt;"",D292&lt;&gt;""),G292=""),"⏳ PENDENTE (falta qtd. apresentada)",IF(AND(G292&lt;&gt;"",OR(A292="",D292="")),"❌ FALTA Nº RECEBIMENTO/ESCOLA",IF(B292="Nº INVÁLIDO","❌ Nº DE RECEBIMENTO INVÁLIDO",IF(E292="CÓDIGO INVÁLIDO","❌ CÓDIGO DE ESCOLA INVÁLIDO",IF(H292&gt;G292,"❌ REJEITADO MAIOR QUE APRESENTADO",IF(AND(A292&lt;&gt;"",SUMIF($A$60:$A$559,A292,$G$60:$G$559)&gt;INDEX($G$7:$G$56,MATCH(A292,$A$7:$A$56,0))+0.01),"❌ DISTRIBUÍDO MAIS QUE O ACEITO NESSE RECEBIMENTO","OK")))))))</f>
        <v/>
      </c>
      <c r="L292" s="389">
        <f>IF(A292="","",ROW()-59)</f>
        <v/>
      </c>
    </row>
    <row r="293" hidden="1" outlineLevel="1" s="163">
      <c r="A293" s="380" t="n"/>
      <c r="B293" s="372">
        <f>IF(A293="","",IFERROR(INDEX($C$7:$C$56,MATCH(A293,$A$7:$A$56,0)),"Nº INVÁLIDO"))</f>
        <v/>
      </c>
      <c r="C293" s="372">
        <f>IF(A293="","",IFERROR(INDEX($D$7:$D$56,MATCH(A293,$A$7:$A$56,0)),"Nº INVÁLIDO"))</f>
        <v/>
      </c>
      <c r="D293" s="380" t="n"/>
      <c r="E293" s="381">
        <f>IF(D293="","",IFERROR(INDEX('Entrada de Dados'!$B$6:$B$196,MATCH(D293,'Entrada de Dados'!$A$6:$A$196,0)),"CÓDIGO INVÁLIDO"))</f>
        <v/>
      </c>
      <c r="F293" s="373" t="n"/>
      <c r="G293" s="375" t="n"/>
      <c r="H293" s="375" t="n"/>
      <c r="I293" s="376">
        <f>IF(G293="",0,MAX(G293-H293,0))</f>
        <v/>
      </c>
      <c r="J293" s="380" t="n"/>
      <c r="K293" s="162">
        <f>IF(AND(A293="",D293="",G293="",H293=""),"",IF(AND(OR(A293&lt;&gt;"",D293&lt;&gt;""),G293=""),"⏳ PENDENTE (falta qtd. apresentada)",IF(AND(G293&lt;&gt;"",OR(A293="",D293="")),"❌ FALTA Nº RECEBIMENTO/ESCOLA",IF(B293="Nº INVÁLIDO","❌ Nº DE RECEBIMENTO INVÁLIDO",IF(E293="CÓDIGO INVÁLIDO","❌ CÓDIGO DE ESCOLA INVÁLIDO",IF(H293&gt;G293,"❌ REJEITADO MAIOR QUE APRESENTADO",IF(AND(A293&lt;&gt;"",SUMIF($A$60:$A$559,A293,$G$60:$G$559)&gt;INDEX($G$7:$G$56,MATCH(A293,$A$7:$A$56,0))+0.01),"❌ DISTRIBUÍDO MAIS QUE O ACEITO NESSE RECEBIMENTO","OK")))))))</f>
        <v/>
      </c>
      <c r="L293" s="389">
        <f>IF(A293="","",ROW()-59)</f>
        <v/>
      </c>
    </row>
    <row r="294" hidden="1" outlineLevel="1" s="163">
      <c r="A294" s="380" t="n"/>
      <c r="B294" s="372">
        <f>IF(A294="","",IFERROR(INDEX($C$7:$C$56,MATCH(A294,$A$7:$A$56,0)),"Nº INVÁLIDO"))</f>
        <v/>
      </c>
      <c r="C294" s="372">
        <f>IF(A294="","",IFERROR(INDEX($D$7:$D$56,MATCH(A294,$A$7:$A$56,0)),"Nº INVÁLIDO"))</f>
        <v/>
      </c>
      <c r="D294" s="380" t="n"/>
      <c r="E294" s="381">
        <f>IF(D294="","",IFERROR(INDEX('Entrada de Dados'!$B$6:$B$196,MATCH(D294,'Entrada de Dados'!$A$6:$A$196,0)),"CÓDIGO INVÁLIDO"))</f>
        <v/>
      </c>
      <c r="F294" s="373" t="n"/>
      <c r="G294" s="375" t="n"/>
      <c r="H294" s="375" t="n"/>
      <c r="I294" s="376">
        <f>IF(G294="",0,MAX(G294-H294,0))</f>
        <v/>
      </c>
      <c r="J294" s="380" t="n"/>
      <c r="K294" s="162">
        <f>IF(AND(A294="",D294="",G294="",H294=""),"",IF(AND(OR(A294&lt;&gt;"",D294&lt;&gt;""),G294=""),"⏳ PENDENTE (falta qtd. apresentada)",IF(AND(G294&lt;&gt;"",OR(A294="",D294="")),"❌ FALTA Nº RECEBIMENTO/ESCOLA",IF(B294="Nº INVÁLIDO","❌ Nº DE RECEBIMENTO INVÁLIDO",IF(E294="CÓDIGO INVÁLIDO","❌ CÓDIGO DE ESCOLA INVÁLIDO",IF(H294&gt;G294,"❌ REJEITADO MAIOR QUE APRESENTADO",IF(AND(A294&lt;&gt;"",SUMIF($A$60:$A$559,A294,$G$60:$G$559)&gt;INDEX($G$7:$G$56,MATCH(A294,$A$7:$A$56,0))+0.01),"❌ DISTRIBUÍDO MAIS QUE O ACEITO NESSE RECEBIMENTO","OK")))))))</f>
        <v/>
      </c>
      <c r="L294" s="389">
        <f>IF(A294="","",ROW()-59)</f>
        <v/>
      </c>
    </row>
    <row r="295" hidden="1" outlineLevel="1" s="163">
      <c r="A295" s="380" t="n"/>
      <c r="B295" s="372">
        <f>IF(A295="","",IFERROR(INDEX($C$7:$C$56,MATCH(A295,$A$7:$A$56,0)),"Nº INVÁLIDO"))</f>
        <v/>
      </c>
      <c r="C295" s="372">
        <f>IF(A295="","",IFERROR(INDEX($D$7:$D$56,MATCH(A295,$A$7:$A$56,0)),"Nº INVÁLIDO"))</f>
        <v/>
      </c>
      <c r="D295" s="380" t="n"/>
      <c r="E295" s="381">
        <f>IF(D295="","",IFERROR(INDEX('Entrada de Dados'!$B$6:$B$196,MATCH(D295,'Entrada de Dados'!$A$6:$A$196,0)),"CÓDIGO INVÁLIDO"))</f>
        <v/>
      </c>
      <c r="F295" s="373" t="n"/>
      <c r="G295" s="375" t="n"/>
      <c r="H295" s="375" t="n"/>
      <c r="I295" s="376">
        <f>IF(G295="",0,MAX(G295-H295,0))</f>
        <v/>
      </c>
      <c r="J295" s="380" t="n"/>
      <c r="K295" s="162">
        <f>IF(AND(A295="",D295="",G295="",H295=""),"",IF(AND(OR(A295&lt;&gt;"",D295&lt;&gt;""),G295=""),"⏳ PENDENTE (falta qtd. apresentada)",IF(AND(G295&lt;&gt;"",OR(A295="",D295="")),"❌ FALTA Nº RECEBIMENTO/ESCOLA",IF(B295="Nº INVÁLIDO","❌ Nº DE RECEBIMENTO INVÁLIDO",IF(E295="CÓDIGO INVÁLIDO","❌ CÓDIGO DE ESCOLA INVÁLIDO",IF(H295&gt;G295,"❌ REJEITADO MAIOR QUE APRESENTADO",IF(AND(A295&lt;&gt;"",SUMIF($A$60:$A$559,A295,$G$60:$G$559)&gt;INDEX($G$7:$G$56,MATCH(A295,$A$7:$A$56,0))+0.01),"❌ DISTRIBUÍDO MAIS QUE O ACEITO NESSE RECEBIMENTO","OK")))))))</f>
        <v/>
      </c>
      <c r="L295" s="389">
        <f>IF(A295="","",ROW()-59)</f>
        <v/>
      </c>
    </row>
    <row r="296" hidden="1" outlineLevel="1" s="163">
      <c r="A296" s="380" t="n"/>
      <c r="B296" s="372">
        <f>IF(A296="","",IFERROR(INDEX($C$7:$C$56,MATCH(A296,$A$7:$A$56,0)),"Nº INVÁLIDO"))</f>
        <v/>
      </c>
      <c r="C296" s="372">
        <f>IF(A296="","",IFERROR(INDEX($D$7:$D$56,MATCH(A296,$A$7:$A$56,0)),"Nº INVÁLIDO"))</f>
        <v/>
      </c>
      <c r="D296" s="380" t="n"/>
      <c r="E296" s="381">
        <f>IF(D296="","",IFERROR(INDEX('Entrada de Dados'!$B$6:$B$196,MATCH(D296,'Entrada de Dados'!$A$6:$A$196,0)),"CÓDIGO INVÁLIDO"))</f>
        <v/>
      </c>
      <c r="F296" s="373" t="n"/>
      <c r="G296" s="375" t="n"/>
      <c r="H296" s="375" t="n"/>
      <c r="I296" s="376">
        <f>IF(G296="",0,MAX(G296-H296,0))</f>
        <v/>
      </c>
      <c r="J296" s="380" t="n"/>
      <c r="K296" s="162">
        <f>IF(AND(A296="",D296="",G296="",H296=""),"",IF(AND(OR(A296&lt;&gt;"",D296&lt;&gt;""),G296=""),"⏳ PENDENTE (falta qtd. apresentada)",IF(AND(G296&lt;&gt;"",OR(A296="",D296="")),"❌ FALTA Nº RECEBIMENTO/ESCOLA",IF(B296="Nº INVÁLIDO","❌ Nº DE RECEBIMENTO INVÁLIDO",IF(E296="CÓDIGO INVÁLIDO","❌ CÓDIGO DE ESCOLA INVÁLIDO",IF(H296&gt;G296,"❌ REJEITADO MAIOR QUE APRESENTADO",IF(AND(A296&lt;&gt;"",SUMIF($A$60:$A$559,A296,$G$60:$G$559)&gt;INDEX($G$7:$G$56,MATCH(A296,$A$7:$A$56,0))+0.01),"❌ DISTRIBUÍDO MAIS QUE O ACEITO NESSE RECEBIMENTO","OK")))))))</f>
        <v/>
      </c>
      <c r="L296" s="389">
        <f>IF(A296="","",ROW()-59)</f>
        <v/>
      </c>
    </row>
    <row r="297" hidden="1" outlineLevel="1" s="163">
      <c r="A297" s="380" t="n"/>
      <c r="B297" s="372">
        <f>IF(A297="","",IFERROR(INDEX($C$7:$C$56,MATCH(A297,$A$7:$A$56,0)),"Nº INVÁLIDO"))</f>
        <v/>
      </c>
      <c r="C297" s="372">
        <f>IF(A297="","",IFERROR(INDEX($D$7:$D$56,MATCH(A297,$A$7:$A$56,0)),"Nº INVÁLIDO"))</f>
        <v/>
      </c>
      <c r="D297" s="380" t="n"/>
      <c r="E297" s="381">
        <f>IF(D297="","",IFERROR(INDEX('Entrada de Dados'!$B$6:$B$196,MATCH(D297,'Entrada de Dados'!$A$6:$A$196,0)),"CÓDIGO INVÁLIDO"))</f>
        <v/>
      </c>
      <c r="F297" s="373" t="n"/>
      <c r="G297" s="375" t="n"/>
      <c r="H297" s="375" t="n"/>
      <c r="I297" s="376">
        <f>IF(G297="",0,MAX(G297-H297,0))</f>
        <v/>
      </c>
      <c r="J297" s="380" t="n"/>
      <c r="K297" s="162">
        <f>IF(AND(A297="",D297="",G297="",H297=""),"",IF(AND(OR(A297&lt;&gt;"",D297&lt;&gt;""),G297=""),"⏳ PENDENTE (falta qtd. apresentada)",IF(AND(G297&lt;&gt;"",OR(A297="",D297="")),"❌ FALTA Nº RECEBIMENTO/ESCOLA",IF(B297="Nº INVÁLIDO","❌ Nº DE RECEBIMENTO INVÁLIDO",IF(E297="CÓDIGO INVÁLIDO","❌ CÓDIGO DE ESCOLA INVÁLIDO",IF(H297&gt;G297,"❌ REJEITADO MAIOR QUE APRESENTADO",IF(AND(A297&lt;&gt;"",SUMIF($A$60:$A$559,A297,$G$60:$G$559)&gt;INDEX($G$7:$G$56,MATCH(A297,$A$7:$A$56,0))+0.01),"❌ DISTRIBUÍDO MAIS QUE O ACEITO NESSE RECEBIMENTO","OK")))))))</f>
        <v/>
      </c>
      <c r="L297" s="389">
        <f>IF(A297="","",ROW()-59)</f>
        <v/>
      </c>
    </row>
    <row r="298" hidden="1" outlineLevel="1" s="163">
      <c r="A298" s="380" t="n"/>
      <c r="B298" s="372">
        <f>IF(A298="","",IFERROR(INDEX($C$7:$C$56,MATCH(A298,$A$7:$A$56,0)),"Nº INVÁLIDO"))</f>
        <v/>
      </c>
      <c r="C298" s="372">
        <f>IF(A298="","",IFERROR(INDEX($D$7:$D$56,MATCH(A298,$A$7:$A$56,0)),"Nº INVÁLIDO"))</f>
        <v/>
      </c>
      <c r="D298" s="380" t="n"/>
      <c r="E298" s="381">
        <f>IF(D298="","",IFERROR(INDEX('Entrada de Dados'!$B$6:$B$196,MATCH(D298,'Entrada de Dados'!$A$6:$A$196,0)),"CÓDIGO INVÁLIDO"))</f>
        <v/>
      </c>
      <c r="F298" s="373" t="n"/>
      <c r="G298" s="375" t="n"/>
      <c r="H298" s="375" t="n"/>
      <c r="I298" s="376">
        <f>IF(G298="",0,MAX(G298-H298,0))</f>
        <v/>
      </c>
      <c r="J298" s="380" t="n"/>
      <c r="K298" s="162">
        <f>IF(AND(A298="",D298="",G298="",H298=""),"",IF(AND(OR(A298&lt;&gt;"",D298&lt;&gt;""),G298=""),"⏳ PENDENTE (falta qtd. apresentada)",IF(AND(G298&lt;&gt;"",OR(A298="",D298="")),"❌ FALTA Nº RECEBIMENTO/ESCOLA",IF(B298="Nº INVÁLIDO","❌ Nº DE RECEBIMENTO INVÁLIDO",IF(E298="CÓDIGO INVÁLIDO","❌ CÓDIGO DE ESCOLA INVÁLIDO",IF(H298&gt;G298,"❌ REJEITADO MAIOR QUE APRESENTADO",IF(AND(A298&lt;&gt;"",SUMIF($A$60:$A$559,A298,$G$60:$G$559)&gt;INDEX($G$7:$G$56,MATCH(A298,$A$7:$A$56,0))+0.01),"❌ DISTRIBUÍDO MAIS QUE O ACEITO NESSE RECEBIMENTO","OK")))))))</f>
        <v/>
      </c>
      <c r="L298" s="389">
        <f>IF(A298="","",ROW()-59)</f>
        <v/>
      </c>
    </row>
    <row r="299" hidden="1" outlineLevel="1" s="163">
      <c r="A299" s="380" t="n"/>
      <c r="B299" s="372">
        <f>IF(A299="","",IFERROR(INDEX($C$7:$C$56,MATCH(A299,$A$7:$A$56,0)),"Nº INVÁLIDO"))</f>
        <v/>
      </c>
      <c r="C299" s="372">
        <f>IF(A299="","",IFERROR(INDEX($D$7:$D$56,MATCH(A299,$A$7:$A$56,0)),"Nº INVÁLIDO"))</f>
        <v/>
      </c>
      <c r="D299" s="380" t="n"/>
      <c r="E299" s="381">
        <f>IF(D299="","",IFERROR(INDEX('Entrada de Dados'!$B$6:$B$196,MATCH(D299,'Entrada de Dados'!$A$6:$A$196,0)),"CÓDIGO INVÁLIDO"))</f>
        <v/>
      </c>
      <c r="F299" s="373" t="n"/>
      <c r="G299" s="375" t="n"/>
      <c r="H299" s="375" t="n"/>
      <c r="I299" s="376">
        <f>IF(G299="",0,MAX(G299-H299,0))</f>
        <v/>
      </c>
      <c r="J299" s="380" t="n"/>
      <c r="K299" s="162">
        <f>IF(AND(A299="",D299="",G299="",H299=""),"",IF(AND(OR(A299&lt;&gt;"",D299&lt;&gt;""),G299=""),"⏳ PENDENTE (falta qtd. apresentada)",IF(AND(G299&lt;&gt;"",OR(A299="",D299="")),"❌ FALTA Nº RECEBIMENTO/ESCOLA",IF(B299="Nº INVÁLIDO","❌ Nº DE RECEBIMENTO INVÁLIDO",IF(E299="CÓDIGO INVÁLIDO","❌ CÓDIGO DE ESCOLA INVÁLIDO",IF(H299&gt;G299,"❌ REJEITADO MAIOR QUE APRESENTADO",IF(AND(A299&lt;&gt;"",SUMIF($A$60:$A$559,A299,$G$60:$G$559)&gt;INDEX($G$7:$G$56,MATCH(A299,$A$7:$A$56,0))+0.01),"❌ DISTRIBUÍDO MAIS QUE O ACEITO NESSE RECEBIMENTO","OK")))))))</f>
        <v/>
      </c>
      <c r="L299" s="389">
        <f>IF(A299="","",ROW()-59)</f>
        <v/>
      </c>
    </row>
    <row r="300" hidden="1" outlineLevel="1" s="163">
      <c r="A300" s="380" t="n"/>
      <c r="B300" s="372">
        <f>IF(A300="","",IFERROR(INDEX($C$7:$C$56,MATCH(A300,$A$7:$A$56,0)),"Nº INVÁLIDO"))</f>
        <v/>
      </c>
      <c r="C300" s="372">
        <f>IF(A300="","",IFERROR(INDEX($D$7:$D$56,MATCH(A300,$A$7:$A$56,0)),"Nº INVÁLIDO"))</f>
        <v/>
      </c>
      <c r="D300" s="380" t="n"/>
      <c r="E300" s="381">
        <f>IF(D300="","",IFERROR(INDEX('Entrada de Dados'!$B$6:$B$196,MATCH(D300,'Entrada de Dados'!$A$6:$A$196,0)),"CÓDIGO INVÁLIDO"))</f>
        <v/>
      </c>
      <c r="F300" s="373" t="n"/>
      <c r="G300" s="375" t="n"/>
      <c r="H300" s="375" t="n"/>
      <c r="I300" s="376">
        <f>IF(G300="",0,MAX(G300-H300,0))</f>
        <v/>
      </c>
      <c r="J300" s="380" t="n"/>
      <c r="K300" s="162">
        <f>IF(AND(A300="",D300="",G300="",H300=""),"",IF(AND(OR(A300&lt;&gt;"",D300&lt;&gt;""),G300=""),"⏳ PENDENTE (falta qtd. apresentada)",IF(AND(G300&lt;&gt;"",OR(A300="",D300="")),"❌ FALTA Nº RECEBIMENTO/ESCOLA",IF(B300="Nº INVÁLIDO","❌ Nº DE RECEBIMENTO INVÁLIDO",IF(E300="CÓDIGO INVÁLIDO","❌ CÓDIGO DE ESCOLA INVÁLIDO",IF(H300&gt;G300,"❌ REJEITADO MAIOR QUE APRESENTADO",IF(AND(A300&lt;&gt;"",SUMIF($A$60:$A$559,A300,$G$60:$G$559)&gt;INDEX($G$7:$G$56,MATCH(A300,$A$7:$A$56,0))+0.01),"❌ DISTRIBUÍDO MAIS QUE O ACEITO NESSE RECEBIMENTO","OK")))))))</f>
        <v/>
      </c>
      <c r="L300" s="389">
        <f>IF(A300="","",ROW()-59)</f>
        <v/>
      </c>
    </row>
    <row r="301" hidden="1" outlineLevel="1" s="163">
      <c r="A301" s="380" t="n"/>
      <c r="B301" s="372">
        <f>IF(A301="","",IFERROR(INDEX($C$7:$C$56,MATCH(A301,$A$7:$A$56,0)),"Nº INVÁLIDO"))</f>
        <v/>
      </c>
      <c r="C301" s="372">
        <f>IF(A301="","",IFERROR(INDEX($D$7:$D$56,MATCH(A301,$A$7:$A$56,0)),"Nº INVÁLIDO"))</f>
        <v/>
      </c>
      <c r="D301" s="380" t="n"/>
      <c r="E301" s="381">
        <f>IF(D301="","",IFERROR(INDEX('Entrada de Dados'!$B$6:$B$196,MATCH(D301,'Entrada de Dados'!$A$6:$A$196,0)),"CÓDIGO INVÁLIDO"))</f>
        <v/>
      </c>
      <c r="F301" s="373" t="n"/>
      <c r="G301" s="375" t="n"/>
      <c r="H301" s="375" t="n"/>
      <c r="I301" s="376">
        <f>IF(G301="",0,MAX(G301-H301,0))</f>
        <v/>
      </c>
      <c r="J301" s="380" t="n"/>
      <c r="K301" s="162">
        <f>IF(AND(A301="",D301="",G301="",H301=""),"",IF(AND(OR(A301&lt;&gt;"",D301&lt;&gt;""),G301=""),"⏳ PENDENTE (falta qtd. apresentada)",IF(AND(G301&lt;&gt;"",OR(A301="",D301="")),"❌ FALTA Nº RECEBIMENTO/ESCOLA",IF(B301="Nº INVÁLIDO","❌ Nº DE RECEBIMENTO INVÁLIDO",IF(E301="CÓDIGO INVÁLIDO","❌ CÓDIGO DE ESCOLA INVÁLIDO",IF(H301&gt;G301,"❌ REJEITADO MAIOR QUE APRESENTADO",IF(AND(A301&lt;&gt;"",SUMIF($A$60:$A$559,A301,$G$60:$G$559)&gt;INDEX($G$7:$G$56,MATCH(A301,$A$7:$A$56,0))+0.01),"❌ DISTRIBUÍDO MAIS QUE O ACEITO NESSE RECEBIMENTO","OK")))))))</f>
        <v/>
      </c>
      <c r="L301" s="389">
        <f>IF(A301="","",ROW()-59)</f>
        <v/>
      </c>
    </row>
    <row r="302" hidden="1" outlineLevel="1" s="163">
      <c r="A302" s="380" t="n"/>
      <c r="B302" s="372">
        <f>IF(A302="","",IFERROR(INDEX($C$7:$C$56,MATCH(A302,$A$7:$A$56,0)),"Nº INVÁLIDO"))</f>
        <v/>
      </c>
      <c r="C302" s="372">
        <f>IF(A302="","",IFERROR(INDEX($D$7:$D$56,MATCH(A302,$A$7:$A$56,0)),"Nº INVÁLIDO"))</f>
        <v/>
      </c>
      <c r="D302" s="380" t="n"/>
      <c r="E302" s="381">
        <f>IF(D302="","",IFERROR(INDEX('Entrada de Dados'!$B$6:$B$196,MATCH(D302,'Entrada de Dados'!$A$6:$A$196,0)),"CÓDIGO INVÁLIDO"))</f>
        <v/>
      </c>
      <c r="F302" s="373" t="n"/>
      <c r="G302" s="375" t="n"/>
      <c r="H302" s="375" t="n"/>
      <c r="I302" s="376">
        <f>IF(G302="",0,MAX(G302-H302,0))</f>
        <v/>
      </c>
      <c r="J302" s="380" t="n"/>
      <c r="K302" s="162">
        <f>IF(AND(A302="",D302="",G302="",H302=""),"",IF(AND(OR(A302&lt;&gt;"",D302&lt;&gt;""),G302=""),"⏳ PENDENTE (falta qtd. apresentada)",IF(AND(G302&lt;&gt;"",OR(A302="",D302="")),"❌ FALTA Nº RECEBIMENTO/ESCOLA",IF(B302="Nº INVÁLIDO","❌ Nº DE RECEBIMENTO INVÁLIDO",IF(E302="CÓDIGO INVÁLIDO","❌ CÓDIGO DE ESCOLA INVÁLIDO",IF(H302&gt;G302,"❌ REJEITADO MAIOR QUE APRESENTADO",IF(AND(A302&lt;&gt;"",SUMIF($A$60:$A$559,A302,$G$60:$G$559)&gt;INDEX($G$7:$G$56,MATCH(A302,$A$7:$A$56,0))+0.01),"❌ DISTRIBUÍDO MAIS QUE O ACEITO NESSE RECEBIMENTO","OK")))))))</f>
        <v/>
      </c>
      <c r="L302" s="389">
        <f>IF(A302="","",ROW()-59)</f>
        <v/>
      </c>
    </row>
    <row r="303" hidden="1" outlineLevel="1" s="163">
      <c r="A303" s="380" t="n"/>
      <c r="B303" s="372">
        <f>IF(A303="","",IFERROR(INDEX($C$7:$C$56,MATCH(A303,$A$7:$A$56,0)),"Nº INVÁLIDO"))</f>
        <v/>
      </c>
      <c r="C303" s="372">
        <f>IF(A303="","",IFERROR(INDEX($D$7:$D$56,MATCH(A303,$A$7:$A$56,0)),"Nº INVÁLIDO"))</f>
        <v/>
      </c>
      <c r="D303" s="380" t="n"/>
      <c r="E303" s="381">
        <f>IF(D303="","",IFERROR(INDEX('Entrada de Dados'!$B$6:$B$196,MATCH(D303,'Entrada de Dados'!$A$6:$A$196,0)),"CÓDIGO INVÁLIDO"))</f>
        <v/>
      </c>
      <c r="F303" s="373" t="n"/>
      <c r="G303" s="375" t="n"/>
      <c r="H303" s="375" t="n"/>
      <c r="I303" s="376">
        <f>IF(G303="",0,MAX(G303-H303,0))</f>
        <v/>
      </c>
      <c r="J303" s="380" t="n"/>
      <c r="K303" s="162">
        <f>IF(AND(A303="",D303="",G303="",H303=""),"",IF(AND(OR(A303&lt;&gt;"",D303&lt;&gt;""),G303=""),"⏳ PENDENTE (falta qtd. apresentada)",IF(AND(G303&lt;&gt;"",OR(A303="",D303="")),"❌ FALTA Nº RECEBIMENTO/ESCOLA",IF(B303="Nº INVÁLIDO","❌ Nº DE RECEBIMENTO INVÁLIDO",IF(E303="CÓDIGO INVÁLIDO","❌ CÓDIGO DE ESCOLA INVÁLIDO",IF(H303&gt;G303,"❌ REJEITADO MAIOR QUE APRESENTADO",IF(AND(A303&lt;&gt;"",SUMIF($A$60:$A$559,A303,$G$60:$G$559)&gt;INDEX($G$7:$G$56,MATCH(A303,$A$7:$A$56,0))+0.01),"❌ DISTRIBUÍDO MAIS QUE O ACEITO NESSE RECEBIMENTO","OK")))))))</f>
        <v/>
      </c>
      <c r="L303" s="389">
        <f>IF(A303="","",ROW()-59)</f>
        <v/>
      </c>
    </row>
    <row r="304" hidden="1" outlineLevel="1" s="163">
      <c r="A304" s="380" t="n"/>
      <c r="B304" s="372">
        <f>IF(A304="","",IFERROR(INDEX($C$7:$C$56,MATCH(A304,$A$7:$A$56,0)),"Nº INVÁLIDO"))</f>
        <v/>
      </c>
      <c r="C304" s="372">
        <f>IF(A304="","",IFERROR(INDEX($D$7:$D$56,MATCH(A304,$A$7:$A$56,0)),"Nº INVÁLIDO"))</f>
        <v/>
      </c>
      <c r="D304" s="380" t="n"/>
      <c r="E304" s="381">
        <f>IF(D304="","",IFERROR(INDEX('Entrada de Dados'!$B$6:$B$196,MATCH(D304,'Entrada de Dados'!$A$6:$A$196,0)),"CÓDIGO INVÁLIDO"))</f>
        <v/>
      </c>
      <c r="F304" s="373" t="n"/>
      <c r="G304" s="375" t="n"/>
      <c r="H304" s="375" t="n"/>
      <c r="I304" s="376">
        <f>IF(G304="",0,MAX(G304-H304,0))</f>
        <v/>
      </c>
      <c r="J304" s="380" t="n"/>
      <c r="K304" s="162">
        <f>IF(AND(A304="",D304="",G304="",H304=""),"",IF(AND(OR(A304&lt;&gt;"",D304&lt;&gt;""),G304=""),"⏳ PENDENTE (falta qtd. apresentada)",IF(AND(G304&lt;&gt;"",OR(A304="",D304="")),"❌ FALTA Nº RECEBIMENTO/ESCOLA",IF(B304="Nº INVÁLIDO","❌ Nº DE RECEBIMENTO INVÁLIDO",IF(E304="CÓDIGO INVÁLIDO","❌ CÓDIGO DE ESCOLA INVÁLIDO",IF(H304&gt;G304,"❌ REJEITADO MAIOR QUE APRESENTADO",IF(AND(A304&lt;&gt;"",SUMIF($A$60:$A$559,A304,$G$60:$G$559)&gt;INDEX($G$7:$G$56,MATCH(A304,$A$7:$A$56,0))+0.01),"❌ DISTRIBUÍDO MAIS QUE O ACEITO NESSE RECEBIMENTO","OK")))))))</f>
        <v/>
      </c>
      <c r="L304" s="389">
        <f>IF(A304="","",ROW()-59)</f>
        <v/>
      </c>
    </row>
    <row r="305" hidden="1" outlineLevel="1" s="163">
      <c r="A305" s="380" t="n"/>
      <c r="B305" s="372">
        <f>IF(A305="","",IFERROR(INDEX($C$7:$C$56,MATCH(A305,$A$7:$A$56,0)),"Nº INVÁLIDO"))</f>
        <v/>
      </c>
      <c r="C305" s="372">
        <f>IF(A305="","",IFERROR(INDEX($D$7:$D$56,MATCH(A305,$A$7:$A$56,0)),"Nº INVÁLIDO"))</f>
        <v/>
      </c>
      <c r="D305" s="380" t="n"/>
      <c r="E305" s="381">
        <f>IF(D305="","",IFERROR(INDEX('Entrada de Dados'!$B$6:$B$196,MATCH(D305,'Entrada de Dados'!$A$6:$A$196,0)),"CÓDIGO INVÁLIDO"))</f>
        <v/>
      </c>
      <c r="F305" s="373" t="n"/>
      <c r="G305" s="375" t="n"/>
      <c r="H305" s="375" t="n"/>
      <c r="I305" s="376">
        <f>IF(G305="",0,MAX(G305-H305,0))</f>
        <v/>
      </c>
      <c r="J305" s="380" t="n"/>
      <c r="K305" s="162">
        <f>IF(AND(A305="",D305="",G305="",H305=""),"",IF(AND(OR(A305&lt;&gt;"",D305&lt;&gt;""),G305=""),"⏳ PENDENTE (falta qtd. apresentada)",IF(AND(G305&lt;&gt;"",OR(A305="",D305="")),"❌ FALTA Nº RECEBIMENTO/ESCOLA",IF(B305="Nº INVÁLIDO","❌ Nº DE RECEBIMENTO INVÁLIDO",IF(E305="CÓDIGO INVÁLIDO","❌ CÓDIGO DE ESCOLA INVÁLIDO",IF(H305&gt;G305,"❌ REJEITADO MAIOR QUE APRESENTADO",IF(AND(A305&lt;&gt;"",SUMIF($A$60:$A$559,A305,$G$60:$G$559)&gt;INDEX($G$7:$G$56,MATCH(A305,$A$7:$A$56,0))+0.01),"❌ DISTRIBUÍDO MAIS QUE O ACEITO NESSE RECEBIMENTO","OK")))))))</f>
        <v/>
      </c>
      <c r="L305" s="389">
        <f>IF(A305="","",ROW()-59)</f>
        <v/>
      </c>
    </row>
    <row r="306" hidden="1" outlineLevel="1" s="163">
      <c r="A306" s="380" t="n"/>
      <c r="B306" s="372">
        <f>IF(A306="","",IFERROR(INDEX($C$7:$C$56,MATCH(A306,$A$7:$A$56,0)),"Nº INVÁLIDO"))</f>
        <v/>
      </c>
      <c r="C306" s="372">
        <f>IF(A306="","",IFERROR(INDEX($D$7:$D$56,MATCH(A306,$A$7:$A$56,0)),"Nº INVÁLIDO"))</f>
        <v/>
      </c>
      <c r="D306" s="380" t="n"/>
      <c r="E306" s="381">
        <f>IF(D306="","",IFERROR(INDEX('Entrada de Dados'!$B$6:$B$196,MATCH(D306,'Entrada de Dados'!$A$6:$A$196,0)),"CÓDIGO INVÁLIDO"))</f>
        <v/>
      </c>
      <c r="F306" s="373" t="n"/>
      <c r="G306" s="375" t="n"/>
      <c r="H306" s="375" t="n"/>
      <c r="I306" s="376">
        <f>IF(G306="",0,MAX(G306-H306,0))</f>
        <v/>
      </c>
      <c r="J306" s="380" t="n"/>
      <c r="K306" s="162">
        <f>IF(AND(A306="",D306="",G306="",H306=""),"",IF(AND(OR(A306&lt;&gt;"",D306&lt;&gt;""),G306=""),"⏳ PENDENTE (falta qtd. apresentada)",IF(AND(G306&lt;&gt;"",OR(A306="",D306="")),"❌ FALTA Nº RECEBIMENTO/ESCOLA",IF(B306="Nº INVÁLIDO","❌ Nº DE RECEBIMENTO INVÁLIDO",IF(E306="CÓDIGO INVÁLIDO","❌ CÓDIGO DE ESCOLA INVÁLIDO",IF(H306&gt;G306,"❌ REJEITADO MAIOR QUE APRESENTADO",IF(AND(A306&lt;&gt;"",SUMIF($A$60:$A$559,A306,$G$60:$G$559)&gt;INDEX($G$7:$G$56,MATCH(A306,$A$7:$A$56,0))+0.01),"❌ DISTRIBUÍDO MAIS QUE O ACEITO NESSE RECEBIMENTO","OK")))))))</f>
        <v/>
      </c>
      <c r="L306" s="389">
        <f>IF(A306="","",ROW()-59)</f>
        <v/>
      </c>
    </row>
    <row r="307" hidden="1" outlineLevel="1" s="163">
      <c r="A307" s="380" t="n"/>
      <c r="B307" s="372">
        <f>IF(A307="","",IFERROR(INDEX($C$7:$C$56,MATCH(A307,$A$7:$A$56,0)),"Nº INVÁLIDO"))</f>
        <v/>
      </c>
      <c r="C307" s="372">
        <f>IF(A307="","",IFERROR(INDEX($D$7:$D$56,MATCH(A307,$A$7:$A$56,0)),"Nº INVÁLIDO"))</f>
        <v/>
      </c>
      <c r="D307" s="380" t="n"/>
      <c r="E307" s="381">
        <f>IF(D307="","",IFERROR(INDEX('Entrada de Dados'!$B$6:$B$196,MATCH(D307,'Entrada de Dados'!$A$6:$A$196,0)),"CÓDIGO INVÁLIDO"))</f>
        <v/>
      </c>
      <c r="F307" s="373" t="n"/>
      <c r="G307" s="375" t="n"/>
      <c r="H307" s="375" t="n"/>
      <c r="I307" s="376">
        <f>IF(G307="",0,MAX(G307-H307,0))</f>
        <v/>
      </c>
      <c r="J307" s="380" t="n"/>
      <c r="K307" s="162">
        <f>IF(AND(A307="",D307="",G307="",H307=""),"",IF(AND(OR(A307&lt;&gt;"",D307&lt;&gt;""),G307=""),"⏳ PENDENTE (falta qtd. apresentada)",IF(AND(G307&lt;&gt;"",OR(A307="",D307="")),"❌ FALTA Nº RECEBIMENTO/ESCOLA",IF(B307="Nº INVÁLIDO","❌ Nº DE RECEBIMENTO INVÁLIDO",IF(E307="CÓDIGO INVÁLIDO","❌ CÓDIGO DE ESCOLA INVÁLIDO",IF(H307&gt;G307,"❌ REJEITADO MAIOR QUE APRESENTADO",IF(AND(A307&lt;&gt;"",SUMIF($A$60:$A$559,A307,$G$60:$G$559)&gt;INDEX($G$7:$G$56,MATCH(A307,$A$7:$A$56,0))+0.01),"❌ DISTRIBUÍDO MAIS QUE O ACEITO NESSE RECEBIMENTO","OK")))))))</f>
        <v/>
      </c>
      <c r="L307" s="389">
        <f>IF(A307="","",ROW()-59)</f>
        <v/>
      </c>
    </row>
    <row r="308" hidden="1" outlineLevel="1" s="163">
      <c r="A308" s="380" t="n"/>
      <c r="B308" s="372">
        <f>IF(A308="","",IFERROR(INDEX($C$7:$C$56,MATCH(A308,$A$7:$A$56,0)),"Nº INVÁLIDO"))</f>
        <v/>
      </c>
      <c r="C308" s="372">
        <f>IF(A308="","",IFERROR(INDEX($D$7:$D$56,MATCH(A308,$A$7:$A$56,0)),"Nº INVÁLIDO"))</f>
        <v/>
      </c>
      <c r="D308" s="380" t="n"/>
      <c r="E308" s="381">
        <f>IF(D308="","",IFERROR(INDEX('Entrada de Dados'!$B$6:$B$196,MATCH(D308,'Entrada de Dados'!$A$6:$A$196,0)),"CÓDIGO INVÁLIDO"))</f>
        <v/>
      </c>
      <c r="F308" s="373" t="n"/>
      <c r="G308" s="375" t="n"/>
      <c r="H308" s="375" t="n"/>
      <c r="I308" s="376">
        <f>IF(G308="",0,MAX(G308-H308,0))</f>
        <v/>
      </c>
      <c r="J308" s="380" t="n"/>
      <c r="K308" s="162">
        <f>IF(AND(A308="",D308="",G308="",H308=""),"",IF(AND(OR(A308&lt;&gt;"",D308&lt;&gt;""),G308=""),"⏳ PENDENTE (falta qtd. apresentada)",IF(AND(G308&lt;&gt;"",OR(A308="",D308="")),"❌ FALTA Nº RECEBIMENTO/ESCOLA",IF(B308="Nº INVÁLIDO","❌ Nº DE RECEBIMENTO INVÁLIDO",IF(E308="CÓDIGO INVÁLIDO","❌ CÓDIGO DE ESCOLA INVÁLIDO",IF(H308&gt;G308,"❌ REJEITADO MAIOR QUE APRESENTADO",IF(AND(A308&lt;&gt;"",SUMIF($A$60:$A$559,A308,$G$60:$G$559)&gt;INDEX($G$7:$G$56,MATCH(A308,$A$7:$A$56,0))+0.01),"❌ DISTRIBUÍDO MAIS QUE O ACEITO NESSE RECEBIMENTO","OK")))))))</f>
        <v/>
      </c>
      <c r="L308" s="389">
        <f>IF(A308="","",ROW()-59)</f>
        <v/>
      </c>
    </row>
    <row r="309" hidden="1" outlineLevel="1" s="163">
      <c r="A309" s="380" t="n"/>
      <c r="B309" s="372">
        <f>IF(A309="","",IFERROR(INDEX($C$7:$C$56,MATCH(A309,$A$7:$A$56,0)),"Nº INVÁLIDO"))</f>
        <v/>
      </c>
      <c r="C309" s="372">
        <f>IF(A309="","",IFERROR(INDEX($D$7:$D$56,MATCH(A309,$A$7:$A$56,0)),"Nº INVÁLIDO"))</f>
        <v/>
      </c>
      <c r="D309" s="380" t="n"/>
      <c r="E309" s="381">
        <f>IF(D309="","",IFERROR(INDEX('Entrada de Dados'!$B$6:$B$196,MATCH(D309,'Entrada de Dados'!$A$6:$A$196,0)),"CÓDIGO INVÁLIDO"))</f>
        <v/>
      </c>
      <c r="F309" s="373" t="n"/>
      <c r="G309" s="375" t="n"/>
      <c r="H309" s="375" t="n"/>
      <c r="I309" s="376">
        <f>IF(G309="",0,MAX(G309-H309,0))</f>
        <v/>
      </c>
      <c r="J309" s="380" t="n"/>
      <c r="K309" s="162">
        <f>IF(AND(A309="",D309="",G309="",H309=""),"",IF(AND(OR(A309&lt;&gt;"",D309&lt;&gt;""),G309=""),"⏳ PENDENTE (falta qtd. apresentada)",IF(AND(G309&lt;&gt;"",OR(A309="",D309="")),"❌ FALTA Nº RECEBIMENTO/ESCOLA",IF(B309="Nº INVÁLIDO","❌ Nº DE RECEBIMENTO INVÁLIDO",IF(E309="CÓDIGO INVÁLIDO","❌ CÓDIGO DE ESCOLA INVÁLIDO",IF(H309&gt;G309,"❌ REJEITADO MAIOR QUE APRESENTADO",IF(AND(A309&lt;&gt;"",SUMIF($A$60:$A$559,A309,$G$60:$G$559)&gt;INDEX($G$7:$G$56,MATCH(A309,$A$7:$A$56,0))+0.01),"❌ DISTRIBUÍDO MAIS QUE O ACEITO NESSE RECEBIMENTO","OK")))))))</f>
        <v/>
      </c>
      <c r="L309" s="389">
        <f>IF(A309="","",ROW()-59)</f>
        <v/>
      </c>
    </row>
    <row r="310" hidden="1" outlineLevel="1" s="163">
      <c r="A310" s="380" t="n"/>
      <c r="B310" s="372">
        <f>IF(A310="","",IFERROR(INDEX($C$7:$C$56,MATCH(A310,$A$7:$A$56,0)),"Nº INVÁLIDO"))</f>
        <v/>
      </c>
      <c r="C310" s="372">
        <f>IF(A310="","",IFERROR(INDEX($D$7:$D$56,MATCH(A310,$A$7:$A$56,0)),"Nº INVÁLIDO"))</f>
        <v/>
      </c>
      <c r="D310" s="380" t="n"/>
      <c r="E310" s="381">
        <f>IF(D310="","",IFERROR(INDEX('Entrada de Dados'!$B$6:$B$196,MATCH(D310,'Entrada de Dados'!$A$6:$A$196,0)),"CÓDIGO INVÁLIDO"))</f>
        <v/>
      </c>
      <c r="F310" s="373" t="n"/>
      <c r="G310" s="375" t="n"/>
      <c r="H310" s="375" t="n"/>
      <c r="I310" s="376">
        <f>IF(G310="",0,MAX(G310-H310,0))</f>
        <v/>
      </c>
      <c r="J310" s="380" t="n"/>
      <c r="K310" s="162">
        <f>IF(AND(A310="",D310="",G310="",H310=""),"",IF(AND(OR(A310&lt;&gt;"",D310&lt;&gt;""),G310=""),"⏳ PENDENTE (falta qtd. apresentada)",IF(AND(G310&lt;&gt;"",OR(A310="",D310="")),"❌ FALTA Nº RECEBIMENTO/ESCOLA",IF(B310="Nº INVÁLIDO","❌ Nº DE RECEBIMENTO INVÁLIDO",IF(E310="CÓDIGO INVÁLIDO","❌ CÓDIGO DE ESCOLA INVÁLIDO",IF(H310&gt;G310,"❌ REJEITADO MAIOR QUE APRESENTADO",IF(AND(A310&lt;&gt;"",SUMIF($A$60:$A$559,A310,$G$60:$G$559)&gt;INDEX($G$7:$G$56,MATCH(A310,$A$7:$A$56,0))+0.01),"❌ DISTRIBUÍDO MAIS QUE O ACEITO NESSE RECEBIMENTO","OK")))))))</f>
        <v/>
      </c>
      <c r="L310" s="389">
        <f>IF(A310="","",ROW()-59)</f>
        <v/>
      </c>
    </row>
    <row r="311" hidden="1" outlineLevel="1" s="163">
      <c r="A311" s="380" t="n"/>
      <c r="B311" s="372">
        <f>IF(A311="","",IFERROR(INDEX($C$7:$C$56,MATCH(A311,$A$7:$A$56,0)),"Nº INVÁLIDO"))</f>
        <v/>
      </c>
      <c r="C311" s="372">
        <f>IF(A311="","",IFERROR(INDEX($D$7:$D$56,MATCH(A311,$A$7:$A$56,0)),"Nº INVÁLIDO"))</f>
        <v/>
      </c>
      <c r="D311" s="380" t="n"/>
      <c r="E311" s="381">
        <f>IF(D311="","",IFERROR(INDEX('Entrada de Dados'!$B$6:$B$196,MATCH(D311,'Entrada de Dados'!$A$6:$A$196,0)),"CÓDIGO INVÁLIDO"))</f>
        <v/>
      </c>
      <c r="F311" s="373" t="n"/>
      <c r="G311" s="375" t="n"/>
      <c r="H311" s="375" t="n"/>
      <c r="I311" s="376">
        <f>IF(G311="",0,MAX(G311-H311,0))</f>
        <v/>
      </c>
      <c r="J311" s="380" t="n"/>
      <c r="K311" s="162">
        <f>IF(AND(A311="",D311="",G311="",H311=""),"",IF(AND(OR(A311&lt;&gt;"",D311&lt;&gt;""),G311=""),"⏳ PENDENTE (falta qtd. apresentada)",IF(AND(G311&lt;&gt;"",OR(A311="",D311="")),"❌ FALTA Nº RECEBIMENTO/ESCOLA",IF(B311="Nº INVÁLIDO","❌ Nº DE RECEBIMENTO INVÁLIDO",IF(E311="CÓDIGO INVÁLIDO","❌ CÓDIGO DE ESCOLA INVÁLIDO",IF(H311&gt;G311,"❌ REJEITADO MAIOR QUE APRESENTADO",IF(AND(A311&lt;&gt;"",SUMIF($A$60:$A$559,A311,$G$60:$G$559)&gt;INDEX($G$7:$G$56,MATCH(A311,$A$7:$A$56,0))+0.01),"❌ DISTRIBUÍDO MAIS QUE O ACEITO NESSE RECEBIMENTO","OK")))))))</f>
        <v/>
      </c>
      <c r="L311" s="389">
        <f>IF(A311="","",ROW()-59)</f>
        <v/>
      </c>
    </row>
    <row r="312" hidden="1" outlineLevel="1" s="163">
      <c r="A312" s="380" t="n"/>
      <c r="B312" s="372">
        <f>IF(A312="","",IFERROR(INDEX($C$7:$C$56,MATCH(A312,$A$7:$A$56,0)),"Nº INVÁLIDO"))</f>
        <v/>
      </c>
      <c r="C312" s="372">
        <f>IF(A312="","",IFERROR(INDEX($D$7:$D$56,MATCH(A312,$A$7:$A$56,0)),"Nº INVÁLIDO"))</f>
        <v/>
      </c>
      <c r="D312" s="380" t="n"/>
      <c r="E312" s="381">
        <f>IF(D312="","",IFERROR(INDEX('Entrada de Dados'!$B$6:$B$196,MATCH(D312,'Entrada de Dados'!$A$6:$A$196,0)),"CÓDIGO INVÁLIDO"))</f>
        <v/>
      </c>
      <c r="F312" s="373" t="n"/>
      <c r="G312" s="375" t="n"/>
      <c r="H312" s="375" t="n"/>
      <c r="I312" s="376">
        <f>IF(G312="",0,MAX(G312-H312,0))</f>
        <v/>
      </c>
      <c r="J312" s="380" t="n"/>
      <c r="K312" s="162">
        <f>IF(AND(A312="",D312="",G312="",H312=""),"",IF(AND(OR(A312&lt;&gt;"",D312&lt;&gt;""),G312=""),"⏳ PENDENTE (falta qtd. apresentada)",IF(AND(G312&lt;&gt;"",OR(A312="",D312="")),"❌ FALTA Nº RECEBIMENTO/ESCOLA",IF(B312="Nº INVÁLIDO","❌ Nº DE RECEBIMENTO INVÁLIDO",IF(E312="CÓDIGO INVÁLIDO","❌ CÓDIGO DE ESCOLA INVÁLIDO",IF(H312&gt;G312,"❌ REJEITADO MAIOR QUE APRESENTADO",IF(AND(A312&lt;&gt;"",SUMIF($A$60:$A$559,A312,$G$60:$G$559)&gt;INDEX($G$7:$G$56,MATCH(A312,$A$7:$A$56,0))+0.01),"❌ DISTRIBUÍDO MAIS QUE O ACEITO NESSE RECEBIMENTO","OK")))))))</f>
        <v/>
      </c>
      <c r="L312" s="389">
        <f>IF(A312="","",ROW()-59)</f>
        <v/>
      </c>
    </row>
    <row r="313" hidden="1" outlineLevel="1" s="163">
      <c r="A313" s="380" t="n"/>
      <c r="B313" s="372">
        <f>IF(A313="","",IFERROR(INDEX($C$7:$C$56,MATCH(A313,$A$7:$A$56,0)),"Nº INVÁLIDO"))</f>
        <v/>
      </c>
      <c r="C313" s="372">
        <f>IF(A313="","",IFERROR(INDEX($D$7:$D$56,MATCH(A313,$A$7:$A$56,0)),"Nº INVÁLIDO"))</f>
        <v/>
      </c>
      <c r="D313" s="380" t="n"/>
      <c r="E313" s="381">
        <f>IF(D313="","",IFERROR(INDEX('Entrada de Dados'!$B$6:$B$196,MATCH(D313,'Entrada de Dados'!$A$6:$A$196,0)),"CÓDIGO INVÁLIDO"))</f>
        <v/>
      </c>
      <c r="F313" s="373" t="n"/>
      <c r="G313" s="375" t="n"/>
      <c r="H313" s="375" t="n"/>
      <c r="I313" s="376">
        <f>IF(G313="",0,MAX(G313-H313,0))</f>
        <v/>
      </c>
      <c r="J313" s="380" t="n"/>
      <c r="K313" s="162">
        <f>IF(AND(A313="",D313="",G313="",H313=""),"",IF(AND(OR(A313&lt;&gt;"",D313&lt;&gt;""),G313=""),"⏳ PENDENTE (falta qtd. apresentada)",IF(AND(G313&lt;&gt;"",OR(A313="",D313="")),"❌ FALTA Nº RECEBIMENTO/ESCOLA",IF(B313="Nº INVÁLIDO","❌ Nº DE RECEBIMENTO INVÁLIDO",IF(E313="CÓDIGO INVÁLIDO","❌ CÓDIGO DE ESCOLA INVÁLIDO",IF(H313&gt;G313,"❌ REJEITADO MAIOR QUE APRESENTADO",IF(AND(A313&lt;&gt;"",SUMIF($A$60:$A$559,A313,$G$60:$G$559)&gt;INDEX($G$7:$G$56,MATCH(A313,$A$7:$A$56,0))+0.01),"❌ DISTRIBUÍDO MAIS QUE O ACEITO NESSE RECEBIMENTO","OK")))))))</f>
        <v/>
      </c>
      <c r="L313" s="389">
        <f>IF(A313="","",ROW()-59)</f>
        <v/>
      </c>
    </row>
    <row r="314" hidden="1" outlineLevel="1" s="163">
      <c r="A314" s="380" t="n"/>
      <c r="B314" s="372">
        <f>IF(A314="","",IFERROR(INDEX($C$7:$C$56,MATCH(A314,$A$7:$A$56,0)),"Nº INVÁLIDO"))</f>
        <v/>
      </c>
      <c r="C314" s="372">
        <f>IF(A314="","",IFERROR(INDEX($D$7:$D$56,MATCH(A314,$A$7:$A$56,0)),"Nº INVÁLIDO"))</f>
        <v/>
      </c>
      <c r="D314" s="380" t="n"/>
      <c r="E314" s="381">
        <f>IF(D314="","",IFERROR(INDEX('Entrada de Dados'!$B$6:$B$196,MATCH(D314,'Entrada de Dados'!$A$6:$A$196,0)),"CÓDIGO INVÁLIDO"))</f>
        <v/>
      </c>
      <c r="F314" s="373" t="n"/>
      <c r="G314" s="375" t="n"/>
      <c r="H314" s="375" t="n"/>
      <c r="I314" s="376">
        <f>IF(G314="",0,MAX(G314-H314,0))</f>
        <v/>
      </c>
      <c r="J314" s="380" t="n"/>
      <c r="K314" s="162">
        <f>IF(AND(A314="",D314="",G314="",H314=""),"",IF(AND(OR(A314&lt;&gt;"",D314&lt;&gt;""),G314=""),"⏳ PENDENTE (falta qtd. apresentada)",IF(AND(G314&lt;&gt;"",OR(A314="",D314="")),"❌ FALTA Nº RECEBIMENTO/ESCOLA",IF(B314="Nº INVÁLIDO","❌ Nº DE RECEBIMENTO INVÁLIDO",IF(E314="CÓDIGO INVÁLIDO","❌ CÓDIGO DE ESCOLA INVÁLIDO",IF(H314&gt;G314,"❌ REJEITADO MAIOR QUE APRESENTADO",IF(AND(A314&lt;&gt;"",SUMIF($A$60:$A$559,A314,$G$60:$G$559)&gt;INDEX($G$7:$G$56,MATCH(A314,$A$7:$A$56,0))+0.01),"❌ DISTRIBUÍDO MAIS QUE O ACEITO NESSE RECEBIMENTO","OK")))))))</f>
        <v/>
      </c>
      <c r="L314" s="389">
        <f>IF(A314="","",ROW()-59)</f>
        <v/>
      </c>
    </row>
    <row r="315" hidden="1" outlineLevel="1" s="163">
      <c r="A315" s="380" t="n"/>
      <c r="B315" s="372">
        <f>IF(A315="","",IFERROR(INDEX($C$7:$C$56,MATCH(A315,$A$7:$A$56,0)),"Nº INVÁLIDO"))</f>
        <v/>
      </c>
      <c r="C315" s="372">
        <f>IF(A315="","",IFERROR(INDEX($D$7:$D$56,MATCH(A315,$A$7:$A$56,0)),"Nº INVÁLIDO"))</f>
        <v/>
      </c>
      <c r="D315" s="380" t="n"/>
      <c r="E315" s="381">
        <f>IF(D315="","",IFERROR(INDEX('Entrada de Dados'!$B$6:$B$196,MATCH(D315,'Entrada de Dados'!$A$6:$A$196,0)),"CÓDIGO INVÁLIDO"))</f>
        <v/>
      </c>
      <c r="F315" s="373" t="n"/>
      <c r="G315" s="375" t="n"/>
      <c r="H315" s="375" t="n"/>
      <c r="I315" s="376">
        <f>IF(G315="",0,MAX(G315-H315,0))</f>
        <v/>
      </c>
      <c r="J315" s="380" t="n"/>
      <c r="K315" s="162">
        <f>IF(AND(A315="",D315="",G315="",H315=""),"",IF(AND(OR(A315&lt;&gt;"",D315&lt;&gt;""),G315=""),"⏳ PENDENTE (falta qtd. apresentada)",IF(AND(G315&lt;&gt;"",OR(A315="",D315="")),"❌ FALTA Nº RECEBIMENTO/ESCOLA",IF(B315="Nº INVÁLIDO","❌ Nº DE RECEBIMENTO INVÁLIDO",IF(E315="CÓDIGO INVÁLIDO","❌ CÓDIGO DE ESCOLA INVÁLIDO",IF(H315&gt;G315,"❌ REJEITADO MAIOR QUE APRESENTADO",IF(AND(A315&lt;&gt;"",SUMIF($A$60:$A$559,A315,$G$60:$G$559)&gt;INDEX($G$7:$G$56,MATCH(A315,$A$7:$A$56,0))+0.01),"❌ DISTRIBUÍDO MAIS QUE O ACEITO NESSE RECEBIMENTO","OK")))))))</f>
        <v/>
      </c>
      <c r="L315" s="389">
        <f>IF(A315="","",ROW()-59)</f>
        <v/>
      </c>
    </row>
    <row r="316" hidden="1" outlineLevel="1" s="163">
      <c r="A316" s="380" t="n"/>
      <c r="B316" s="372">
        <f>IF(A316="","",IFERROR(INDEX($C$7:$C$56,MATCH(A316,$A$7:$A$56,0)),"Nº INVÁLIDO"))</f>
        <v/>
      </c>
      <c r="C316" s="372">
        <f>IF(A316="","",IFERROR(INDEX($D$7:$D$56,MATCH(A316,$A$7:$A$56,0)),"Nº INVÁLIDO"))</f>
        <v/>
      </c>
      <c r="D316" s="380" t="n"/>
      <c r="E316" s="381">
        <f>IF(D316="","",IFERROR(INDEX('Entrada de Dados'!$B$6:$B$196,MATCH(D316,'Entrada de Dados'!$A$6:$A$196,0)),"CÓDIGO INVÁLIDO"))</f>
        <v/>
      </c>
      <c r="F316" s="373" t="n"/>
      <c r="G316" s="375" t="n"/>
      <c r="H316" s="375" t="n"/>
      <c r="I316" s="376">
        <f>IF(G316="",0,MAX(G316-H316,0))</f>
        <v/>
      </c>
      <c r="J316" s="380" t="n"/>
      <c r="K316" s="162">
        <f>IF(AND(A316="",D316="",G316="",H316=""),"",IF(AND(OR(A316&lt;&gt;"",D316&lt;&gt;""),G316=""),"⏳ PENDENTE (falta qtd. apresentada)",IF(AND(G316&lt;&gt;"",OR(A316="",D316="")),"❌ FALTA Nº RECEBIMENTO/ESCOLA",IF(B316="Nº INVÁLIDO","❌ Nº DE RECEBIMENTO INVÁLIDO",IF(E316="CÓDIGO INVÁLIDO","❌ CÓDIGO DE ESCOLA INVÁLIDO",IF(H316&gt;G316,"❌ REJEITADO MAIOR QUE APRESENTADO",IF(AND(A316&lt;&gt;"",SUMIF($A$60:$A$559,A316,$G$60:$G$559)&gt;INDEX($G$7:$G$56,MATCH(A316,$A$7:$A$56,0))+0.01),"❌ DISTRIBUÍDO MAIS QUE O ACEITO NESSE RECEBIMENTO","OK")))))))</f>
        <v/>
      </c>
      <c r="L316" s="389">
        <f>IF(A316="","",ROW()-59)</f>
        <v/>
      </c>
    </row>
    <row r="317" hidden="1" outlineLevel="1" s="163">
      <c r="A317" s="380" t="n"/>
      <c r="B317" s="372">
        <f>IF(A317="","",IFERROR(INDEX($C$7:$C$56,MATCH(A317,$A$7:$A$56,0)),"Nº INVÁLIDO"))</f>
        <v/>
      </c>
      <c r="C317" s="372">
        <f>IF(A317="","",IFERROR(INDEX($D$7:$D$56,MATCH(A317,$A$7:$A$56,0)),"Nº INVÁLIDO"))</f>
        <v/>
      </c>
      <c r="D317" s="380" t="n"/>
      <c r="E317" s="381">
        <f>IF(D317="","",IFERROR(INDEX('Entrada de Dados'!$B$6:$B$196,MATCH(D317,'Entrada de Dados'!$A$6:$A$196,0)),"CÓDIGO INVÁLIDO"))</f>
        <v/>
      </c>
      <c r="F317" s="373" t="n"/>
      <c r="G317" s="375" t="n"/>
      <c r="H317" s="375" t="n"/>
      <c r="I317" s="376">
        <f>IF(G317="",0,MAX(G317-H317,0))</f>
        <v/>
      </c>
      <c r="J317" s="380" t="n"/>
      <c r="K317" s="162">
        <f>IF(AND(A317="",D317="",G317="",H317=""),"",IF(AND(OR(A317&lt;&gt;"",D317&lt;&gt;""),G317=""),"⏳ PENDENTE (falta qtd. apresentada)",IF(AND(G317&lt;&gt;"",OR(A317="",D317="")),"❌ FALTA Nº RECEBIMENTO/ESCOLA",IF(B317="Nº INVÁLIDO","❌ Nº DE RECEBIMENTO INVÁLIDO",IF(E317="CÓDIGO INVÁLIDO","❌ CÓDIGO DE ESCOLA INVÁLIDO",IF(H317&gt;G317,"❌ REJEITADO MAIOR QUE APRESENTADO",IF(AND(A317&lt;&gt;"",SUMIF($A$60:$A$559,A317,$G$60:$G$559)&gt;INDEX($G$7:$G$56,MATCH(A317,$A$7:$A$56,0))+0.01),"❌ DISTRIBUÍDO MAIS QUE O ACEITO NESSE RECEBIMENTO","OK")))))))</f>
        <v/>
      </c>
      <c r="L317" s="389">
        <f>IF(A317="","",ROW()-59)</f>
        <v/>
      </c>
    </row>
    <row r="318" hidden="1" outlineLevel="1" s="163">
      <c r="A318" s="380" t="n"/>
      <c r="B318" s="372">
        <f>IF(A318="","",IFERROR(INDEX($C$7:$C$56,MATCH(A318,$A$7:$A$56,0)),"Nº INVÁLIDO"))</f>
        <v/>
      </c>
      <c r="C318" s="372">
        <f>IF(A318="","",IFERROR(INDEX($D$7:$D$56,MATCH(A318,$A$7:$A$56,0)),"Nº INVÁLIDO"))</f>
        <v/>
      </c>
      <c r="D318" s="380" t="n"/>
      <c r="E318" s="381">
        <f>IF(D318="","",IFERROR(INDEX('Entrada de Dados'!$B$6:$B$196,MATCH(D318,'Entrada de Dados'!$A$6:$A$196,0)),"CÓDIGO INVÁLIDO"))</f>
        <v/>
      </c>
      <c r="F318" s="373" t="n"/>
      <c r="G318" s="375" t="n"/>
      <c r="H318" s="375" t="n"/>
      <c r="I318" s="376">
        <f>IF(G318="",0,MAX(G318-H318,0))</f>
        <v/>
      </c>
      <c r="J318" s="380" t="n"/>
      <c r="K318" s="162">
        <f>IF(AND(A318="",D318="",G318="",H318=""),"",IF(AND(OR(A318&lt;&gt;"",D318&lt;&gt;""),G318=""),"⏳ PENDENTE (falta qtd. apresentada)",IF(AND(G318&lt;&gt;"",OR(A318="",D318="")),"❌ FALTA Nº RECEBIMENTO/ESCOLA",IF(B318="Nº INVÁLIDO","❌ Nº DE RECEBIMENTO INVÁLIDO",IF(E318="CÓDIGO INVÁLIDO","❌ CÓDIGO DE ESCOLA INVÁLIDO",IF(H318&gt;G318,"❌ REJEITADO MAIOR QUE APRESENTADO",IF(AND(A318&lt;&gt;"",SUMIF($A$60:$A$559,A318,$G$60:$G$559)&gt;INDEX($G$7:$G$56,MATCH(A318,$A$7:$A$56,0))+0.01),"❌ DISTRIBUÍDO MAIS QUE O ACEITO NESSE RECEBIMENTO","OK")))))))</f>
        <v/>
      </c>
      <c r="L318" s="389">
        <f>IF(A318="","",ROW()-59)</f>
        <v/>
      </c>
    </row>
    <row r="319" hidden="1" outlineLevel="1" s="163">
      <c r="A319" s="380" t="n"/>
      <c r="B319" s="372">
        <f>IF(A319="","",IFERROR(INDEX($C$7:$C$56,MATCH(A319,$A$7:$A$56,0)),"Nº INVÁLIDO"))</f>
        <v/>
      </c>
      <c r="C319" s="372">
        <f>IF(A319="","",IFERROR(INDEX($D$7:$D$56,MATCH(A319,$A$7:$A$56,0)),"Nº INVÁLIDO"))</f>
        <v/>
      </c>
      <c r="D319" s="380" t="n"/>
      <c r="E319" s="381">
        <f>IF(D319="","",IFERROR(INDEX('Entrada de Dados'!$B$6:$B$196,MATCH(D319,'Entrada de Dados'!$A$6:$A$196,0)),"CÓDIGO INVÁLIDO"))</f>
        <v/>
      </c>
      <c r="F319" s="373" t="n"/>
      <c r="G319" s="375" t="n"/>
      <c r="H319" s="375" t="n"/>
      <c r="I319" s="376">
        <f>IF(G319="",0,MAX(G319-H319,0))</f>
        <v/>
      </c>
      <c r="J319" s="380" t="n"/>
      <c r="K319" s="162">
        <f>IF(AND(A319="",D319="",G319="",H319=""),"",IF(AND(OR(A319&lt;&gt;"",D319&lt;&gt;""),G319=""),"⏳ PENDENTE (falta qtd. apresentada)",IF(AND(G319&lt;&gt;"",OR(A319="",D319="")),"❌ FALTA Nº RECEBIMENTO/ESCOLA",IF(B319="Nº INVÁLIDO","❌ Nº DE RECEBIMENTO INVÁLIDO",IF(E319="CÓDIGO INVÁLIDO","❌ CÓDIGO DE ESCOLA INVÁLIDO",IF(H319&gt;G319,"❌ REJEITADO MAIOR QUE APRESENTADO",IF(AND(A319&lt;&gt;"",SUMIF($A$60:$A$559,A319,$G$60:$G$559)&gt;INDEX($G$7:$G$56,MATCH(A319,$A$7:$A$56,0))+0.01),"❌ DISTRIBUÍDO MAIS QUE O ACEITO NESSE RECEBIMENTO","OK")))))))</f>
        <v/>
      </c>
      <c r="L319" s="389">
        <f>IF(A319="","",ROW()-59)</f>
        <v/>
      </c>
    </row>
    <row r="320" hidden="1" outlineLevel="1" s="163">
      <c r="A320" s="380" t="n"/>
      <c r="B320" s="372">
        <f>IF(A320="","",IFERROR(INDEX($C$7:$C$56,MATCH(A320,$A$7:$A$56,0)),"Nº INVÁLIDO"))</f>
        <v/>
      </c>
      <c r="C320" s="372">
        <f>IF(A320="","",IFERROR(INDEX($D$7:$D$56,MATCH(A320,$A$7:$A$56,0)),"Nº INVÁLIDO"))</f>
        <v/>
      </c>
      <c r="D320" s="380" t="n"/>
      <c r="E320" s="381">
        <f>IF(D320="","",IFERROR(INDEX('Entrada de Dados'!$B$6:$B$196,MATCH(D320,'Entrada de Dados'!$A$6:$A$196,0)),"CÓDIGO INVÁLIDO"))</f>
        <v/>
      </c>
      <c r="F320" s="373" t="n"/>
      <c r="G320" s="375" t="n"/>
      <c r="H320" s="375" t="n"/>
      <c r="I320" s="376">
        <f>IF(G320="",0,MAX(G320-H320,0))</f>
        <v/>
      </c>
      <c r="J320" s="380" t="n"/>
      <c r="K320" s="162">
        <f>IF(AND(A320="",D320="",G320="",H320=""),"",IF(AND(OR(A320&lt;&gt;"",D320&lt;&gt;""),G320=""),"⏳ PENDENTE (falta qtd. apresentada)",IF(AND(G320&lt;&gt;"",OR(A320="",D320="")),"❌ FALTA Nº RECEBIMENTO/ESCOLA",IF(B320="Nº INVÁLIDO","❌ Nº DE RECEBIMENTO INVÁLIDO",IF(E320="CÓDIGO INVÁLIDO","❌ CÓDIGO DE ESCOLA INVÁLIDO",IF(H320&gt;G320,"❌ REJEITADO MAIOR QUE APRESENTADO",IF(AND(A320&lt;&gt;"",SUMIF($A$60:$A$559,A320,$G$60:$G$559)&gt;INDEX($G$7:$G$56,MATCH(A320,$A$7:$A$56,0))+0.01),"❌ DISTRIBUÍDO MAIS QUE O ACEITO NESSE RECEBIMENTO","OK")))))))</f>
        <v/>
      </c>
      <c r="L320" s="389">
        <f>IF(A320="","",ROW()-59)</f>
        <v/>
      </c>
    </row>
    <row r="321" hidden="1" outlineLevel="1" s="163">
      <c r="A321" s="380" t="n"/>
      <c r="B321" s="372">
        <f>IF(A321="","",IFERROR(INDEX($C$7:$C$56,MATCH(A321,$A$7:$A$56,0)),"Nº INVÁLIDO"))</f>
        <v/>
      </c>
      <c r="C321" s="372">
        <f>IF(A321="","",IFERROR(INDEX($D$7:$D$56,MATCH(A321,$A$7:$A$56,0)),"Nº INVÁLIDO"))</f>
        <v/>
      </c>
      <c r="D321" s="380" t="n"/>
      <c r="E321" s="381">
        <f>IF(D321="","",IFERROR(INDEX('Entrada de Dados'!$B$6:$B$196,MATCH(D321,'Entrada de Dados'!$A$6:$A$196,0)),"CÓDIGO INVÁLIDO"))</f>
        <v/>
      </c>
      <c r="F321" s="373" t="n"/>
      <c r="G321" s="375" t="n"/>
      <c r="H321" s="375" t="n"/>
      <c r="I321" s="376">
        <f>IF(G321="",0,MAX(G321-H321,0))</f>
        <v/>
      </c>
      <c r="J321" s="380" t="n"/>
      <c r="K321" s="162">
        <f>IF(AND(A321="",D321="",G321="",H321=""),"",IF(AND(OR(A321&lt;&gt;"",D321&lt;&gt;""),G321=""),"⏳ PENDENTE (falta qtd. apresentada)",IF(AND(G321&lt;&gt;"",OR(A321="",D321="")),"❌ FALTA Nº RECEBIMENTO/ESCOLA",IF(B321="Nº INVÁLIDO","❌ Nº DE RECEBIMENTO INVÁLIDO",IF(E321="CÓDIGO INVÁLIDO","❌ CÓDIGO DE ESCOLA INVÁLIDO",IF(H321&gt;G321,"❌ REJEITADO MAIOR QUE APRESENTADO",IF(AND(A321&lt;&gt;"",SUMIF($A$60:$A$559,A321,$G$60:$G$559)&gt;INDEX($G$7:$G$56,MATCH(A321,$A$7:$A$56,0))+0.01),"❌ DISTRIBUÍDO MAIS QUE O ACEITO NESSE RECEBIMENTO","OK")))))))</f>
        <v/>
      </c>
      <c r="L321" s="389">
        <f>IF(A321="","",ROW()-59)</f>
        <v/>
      </c>
    </row>
    <row r="322" hidden="1" outlineLevel="1" s="163">
      <c r="A322" s="380" t="n"/>
      <c r="B322" s="372">
        <f>IF(A322="","",IFERROR(INDEX($C$7:$C$56,MATCH(A322,$A$7:$A$56,0)),"Nº INVÁLIDO"))</f>
        <v/>
      </c>
      <c r="C322" s="372">
        <f>IF(A322="","",IFERROR(INDEX($D$7:$D$56,MATCH(A322,$A$7:$A$56,0)),"Nº INVÁLIDO"))</f>
        <v/>
      </c>
      <c r="D322" s="380" t="n"/>
      <c r="E322" s="381">
        <f>IF(D322="","",IFERROR(INDEX('Entrada de Dados'!$B$6:$B$196,MATCH(D322,'Entrada de Dados'!$A$6:$A$196,0)),"CÓDIGO INVÁLIDO"))</f>
        <v/>
      </c>
      <c r="F322" s="373" t="n"/>
      <c r="G322" s="375" t="n"/>
      <c r="H322" s="375" t="n"/>
      <c r="I322" s="376">
        <f>IF(G322="",0,MAX(G322-H322,0))</f>
        <v/>
      </c>
      <c r="J322" s="380" t="n"/>
      <c r="K322" s="162">
        <f>IF(AND(A322="",D322="",G322="",H322=""),"",IF(AND(OR(A322&lt;&gt;"",D322&lt;&gt;""),G322=""),"⏳ PENDENTE (falta qtd. apresentada)",IF(AND(G322&lt;&gt;"",OR(A322="",D322="")),"❌ FALTA Nº RECEBIMENTO/ESCOLA",IF(B322="Nº INVÁLIDO","❌ Nº DE RECEBIMENTO INVÁLIDO",IF(E322="CÓDIGO INVÁLIDO","❌ CÓDIGO DE ESCOLA INVÁLIDO",IF(H322&gt;G322,"❌ REJEITADO MAIOR QUE APRESENTADO",IF(AND(A322&lt;&gt;"",SUMIF($A$60:$A$559,A322,$G$60:$G$559)&gt;INDEX($G$7:$G$56,MATCH(A322,$A$7:$A$56,0))+0.01),"❌ DISTRIBUÍDO MAIS QUE O ACEITO NESSE RECEBIMENTO","OK")))))))</f>
        <v/>
      </c>
      <c r="L322" s="389">
        <f>IF(A322="","",ROW()-59)</f>
        <v/>
      </c>
    </row>
    <row r="323" hidden="1" outlineLevel="1" s="163">
      <c r="A323" s="380" t="n"/>
      <c r="B323" s="372">
        <f>IF(A323="","",IFERROR(INDEX($C$7:$C$56,MATCH(A323,$A$7:$A$56,0)),"Nº INVÁLIDO"))</f>
        <v/>
      </c>
      <c r="C323" s="372">
        <f>IF(A323="","",IFERROR(INDEX($D$7:$D$56,MATCH(A323,$A$7:$A$56,0)),"Nº INVÁLIDO"))</f>
        <v/>
      </c>
      <c r="D323" s="380" t="n"/>
      <c r="E323" s="381">
        <f>IF(D323="","",IFERROR(INDEX('Entrada de Dados'!$B$6:$B$196,MATCH(D323,'Entrada de Dados'!$A$6:$A$196,0)),"CÓDIGO INVÁLIDO"))</f>
        <v/>
      </c>
      <c r="F323" s="373" t="n"/>
      <c r="G323" s="375" t="n"/>
      <c r="H323" s="375" t="n"/>
      <c r="I323" s="376">
        <f>IF(G323="",0,MAX(G323-H323,0))</f>
        <v/>
      </c>
      <c r="J323" s="380" t="n"/>
      <c r="K323" s="162">
        <f>IF(AND(A323="",D323="",G323="",H323=""),"",IF(AND(OR(A323&lt;&gt;"",D323&lt;&gt;""),G323=""),"⏳ PENDENTE (falta qtd. apresentada)",IF(AND(G323&lt;&gt;"",OR(A323="",D323="")),"❌ FALTA Nº RECEBIMENTO/ESCOLA",IF(B323="Nº INVÁLIDO","❌ Nº DE RECEBIMENTO INVÁLIDO",IF(E323="CÓDIGO INVÁLIDO","❌ CÓDIGO DE ESCOLA INVÁLIDO",IF(H323&gt;G323,"❌ REJEITADO MAIOR QUE APRESENTADO",IF(AND(A323&lt;&gt;"",SUMIF($A$60:$A$559,A323,$G$60:$G$559)&gt;INDEX($G$7:$G$56,MATCH(A323,$A$7:$A$56,0))+0.01),"❌ DISTRIBUÍDO MAIS QUE O ACEITO NESSE RECEBIMENTO","OK")))))))</f>
        <v/>
      </c>
      <c r="L323" s="389">
        <f>IF(A323="","",ROW()-59)</f>
        <v/>
      </c>
    </row>
    <row r="324" hidden="1" outlineLevel="1" s="163">
      <c r="A324" s="380" t="n"/>
      <c r="B324" s="372">
        <f>IF(A324="","",IFERROR(INDEX($C$7:$C$56,MATCH(A324,$A$7:$A$56,0)),"Nº INVÁLIDO"))</f>
        <v/>
      </c>
      <c r="C324" s="372">
        <f>IF(A324="","",IFERROR(INDEX($D$7:$D$56,MATCH(A324,$A$7:$A$56,0)),"Nº INVÁLIDO"))</f>
        <v/>
      </c>
      <c r="D324" s="380" t="n"/>
      <c r="E324" s="381">
        <f>IF(D324="","",IFERROR(INDEX('Entrada de Dados'!$B$6:$B$196,MATCH(D324,'Entrada de Dados'!$A$6:$A$196,0)),"CÓDIGO INVÁLIDO"))</f>
        <v/>
      </c>
      <c r="F324" s="373" t="n"/>
      <c r="G324" s="375" t="n"/>
      <c r="H324" s="375" t="n"/>
      <c r="I324" s="376">
        <f>IF(G324="",0,MAX(G324-H324,0))</f>
        <v/>
      </c>
      <c r="J324" s="380" t="n"/>
      <c r="K324" s="162">
        <f>IF(AND(A324="",D324="",G324="",H324=""),"",IF(AND(OR(A324&lt;&gt;"",D324&lt;&gt;""),G324=""),"⏳ PENDENTE (falta qtd. apresentada)",IF(AND(G324&lt;&gt;"",OR(A324="",D324="")),"❌ FALTA Nº RECEBIMENTO/ESCOLA",IF(B324="Nº INVÁLIDO","❌ Nº DE RECEBIMENTO INVÁLIDO",IF(E324="CÓDIGO INVÁLIDO","❌ CÓDIGO DE ESCOLA INVÁLIDO",IF(H324&gt;G324,"❌ REJEITADO MAIOR QUE APRESENTADO",IF(AND(A324&lt;&gt;"",SUMIF($A$60:$A$559,A324,$G$60:$G$559)&gt;INDEX($G$7:$G$56,MATCH(A324,$A$7:$A$56,0))+0.01),"❌ DISTRIBUÍDO MAIS QUE O ACEITO NESSE RECEBIMENTO","OK")))))))</f>
        <v/>
      </c>
      <c r="L324" s="389">
        <f>IF(A324="","",ROW()-59)</f>
        <v/>
      </c>
    </row>
    <row r="325" hidden="1" outlineLevel="1" s="163">
      <c r="A325" s="380" t="n"/>
      <c r="B325" s="372">
        <f>IF(A325="","",IFERROR(INDEX($C$7:$C$56,MATCH(A325,$A$7:$A$56,0)),"Nº INVÁLIDO"))</f>
        <v/>
      </c>
      <c r="C325" s="372">
        <f>IF(A325="","",IFERROR(INDEX($D$7:$D$56,MATCH(A325,$A$7:$A$56,0)),"Nº INVÁLIDO"))</f>
        <v/>
      </c>
      <c r="D325" s="380" t="n"/>
      <c r="E325" s="381">
        <f>IF(D325="","",IFERROR(INDEX('Entrada de Dados'!$B$6:$B$196,MATCH(D325,'Entrada de Dados'!$A$6:$A$196,0)),"CÓDIGO INVÁLIDO"))</f>
        <v/>
      </c>
      <c r="F325" s="373" t="n"/>
      <c r="G325" s="375" t="n"/>
      <c r="H325" s="375" t="n"/>
      <c r="I325" s="376">
        <f>IF(G325="",0,MAX(G325-H325,0))</f>
        <v/>
      </c>
      <c r="J325" s="380" t="n"/>
      <c r="K325" s="162">
        <f>IF(AND(A325="",D325="",G325="",H325=""),"",IF(AND(OR(A325&lt;&gt;"",D325&lt;&gt;""),G325=""),"⏳ PENDENTE (falta qtd. apresentada)",IF(AND(G325&lt;&gt;"",OR(A325="",D325="")),"❌ FALTA Nº RECEBIMENTO/ESCOLA",IF(B325="Nº INVÁLIDO","❌ Nº DE RECEBIMENTO INVÁLIDO",IF(E325="CÓDIGO INVÁLIDO","❌ CÓDIGO DE ESCOLA INVÁLIDO",IF(H325&gt;G325,"❌ REJEITADO MAIOR QUE APRESENTADO",IF(AND(A325&lt;&gt;"",SUMIF($A$60:$A$559,A325,$G$60:$G$559)&gt;INDEX($G$7:$G$56,MATCH(A325,$A$7:$A$56,0))+0.01),"❌ DISTRIBUÍDO MAIS QUE O ACEITO NESSE RECEBIMENTO","OK")))))))</f>
        <v/>
      </c>
      <c r="L325" s="389">
        <f>IF(A325="","",ROW()-59)</f>
        <v/>
      </c>
    </row>
    <row r="326" hidden="1" outlineLevel="1" s="163">
      <c r="A326" s="380" t="n"/>
      <c r="B326" s="372">
        <f>IF(A326="","",IFERROR(INDEX($C$7:$C$56,MATCH(A326,$A$7:$A$56,0)),"Nº INVÁLIDO"))</f>
        <v/>
      </c>
      <c r="C326" s="372">
        <f>IF(A326="","",IFERROR(INDEX($D$7:$D$56,MATCH(A326,$A$7:$A$56,0)),"Nº INVÁLIDO"))</f>
        <v/>
      </c>
      <c r="D326" s="380" t="n"/>
      <c r="E326" s="381">
        <f>IF(D326="","",IFERROR(INDEX('Entrada de Dados'!$B$6:$B$196,MATCH(D326,'Entrada de Dados'!$A$6:$A$196,0)),"CÓDIGO INVÁLIDO"))</f>
        <v/>
      </c>
      <c r="F326" s="373" t="n"/>
      <c r="G326" s="375" t="n"/>
      <c r="H326" s="375" t="n"/>
      <c r="I326" s="376">
        <f>IF(G326="",0,MAX(G326-H326,0))</f>
        <v/>
      </c>
      <c r="J326" s="380" t="n"/>
      <c r="K326" s="162">
        <f>IF(AND(A326="",D326="",G326="",H326=""),"",IF(AND(OR(A326&lt;&gt;"",D326&lt;&gt;""),G326=""),"⏳ PENDENTE (falta qtd. apresentada)",IF(AND(G326&lt;&gt;"",OR(A326="",D326="")),"❌ FALTA Nº RECEBIMENTO/ESCOLA",IF(B326="Nº INVÁLIDO","❌ Nº DE RECEBIMENTO INVÁLIDO",IF(E326="CÓDIGO INVÁLIDO","❌ CÓDIGO DE ESCOLA INVÁLIDO",IF(H326&gt;G326,"❌ REJEITADO MAIOR QUE APRESENTADO",IF(AND(A326&lt;&gt;"",SUMIF($A$60:$A$559,A326,$G$60:$G$559)&gt;INDEX($G$7:$G$56,MATCH(A326,$A$7:$A$56,0))+0.01),"❌ DISTRIBUÍDO MAIS QUE O ACEITO NESSE RECEBIMENTO","OK")))))))</f>
        <v/>
      </c>
      <c r="L326" s="389">
        <f>IF(A326="","",ROW()-59)</f>
        <v/>
      </c>
    </row>
    <row r="327" hidden="1" outlineLevel="1" s="163">
      <c r="A327" s="380" t="n"/>
      <c r="B327" s="372">
        <f>IF(A327="","",IFERROR(INDEX($C$7:$C$56,MATCH(A327,$A$7:$A$56,0)),"Nº INVÁLIDO"))</f>
        <v/>
      </c>
      <c r="C327" s="372">
        <f>IF(A327="","",IFERROR(INDEX($D$7:$D$56,MATCH(A327,$A$7:$A$56,0)),"Nº INVÁLIDO"))</f>
        <v/>
      </c>
      <c r="D327" s="380" t="n"/>
      <c r="E327" s="381">
        <f>IF(D327="","",IFERROR(INDEX('Entrada de Dados'!$B$6:$B$196,MATCH(D327,'Entrada de Dados'!$A$6:$A$196,0)),"CÓDIGO INVÁLIDO"))</f>
        <v/>
      </c>
      <c r="F327" s="373" t="n"/>
      <c r="G327" s="375" t="n"/>
      <c r="H327" s="375" t="n"/>
      <c r="I327" s="376">
        <f>IF(G327="",0,MAX(G327-H327,0))</f>
        <v/>
      </c>
      <c r="J327" s="380" t="n"/>
      <c r="K327" s="162">
        <f>IF(AND(A327="",D327="",G327="",H327=""),"",IF(AND(OR(A327&lt;&gt;"",D327&lt;&gt;""),G327=""),"⏳ PENDENTE (falta qtd. apresentada)",IF(AND(G327&lt;&gt;"",OR(A327="",D327="")),"❌ FALTA Nº RECEBIMENTO/ESCOLA",IF(B327="Nº INVÁLIDO","❌ Nº DE RECEBIMENTO INVÁLIDO",IF(E327="CÓDIGO INVÁLIDO","❌ CÓDIGO DE ESCOLA INVÁLIDO",IF(H327&gt;G327,"❌ REJEITADO MAIOR QUE APRESENTADO",IF(AND(A327&lt;&gt;"",SUMIF($A$60:$A$559,A327,$G$60:$G$559)&gt;INDEX($G$7:$G$56,MATCH(A327,$A$7:$A$56,0))+0.01),"❌ DISTRIBUÍDO MAIS QUE O ACEITO NESSE RECEBIMENTO","OK")))))))</f>
        <v/>
      </c>
      <c r="L327" s="389">
        <f>IF(A327="","",ROW()-59)</f>
        <v/>
      </c>
    </row>
    <row r="328" hidden="1" outlineLevel="1" s="163">
      <c r="A328" s="380" t="n"/>
      <c r="B328" s="372">
        <f>IF(A328="","",IFERROR(INDEX($C$7:$C$56,MATCH(A328,$A$7:$A$56,0)),"Nº INVÁLIDO"))</f>
        <v/>
      </c>
      <c r="C328" s="372">
        <f>IF(A328="","",IFERROR(INDEX($D$7:$D$56,MATCH(A328,$A$7:$A$56,0)),"Nº INVÁLIDO"))</f>
        <v/>
      </c>
      <c r="D328" s="380" t="n"/>
      <c r="E328" s="381">
        <f>IF(D328="","",IFERROR(INDEX('Entrada de Dados'!$B$6:$B$196,MATCH(D328,'Entrada de Dados'!$A$6:$A$196,0)),"CÓDIGO INVÁLIDO"))</f>
        <v/>
      </c>
      <c r="F328" s="373" t="n"/>
      <c r="G328" s="375" t="n"/>
      <c r="H328" s="375" t="n"/>
      <c r="I328" s="376">
        <f>IF(G328="",0,MAX(G328-H328,0))</f>
        <v/>
      </c>
      <c r="J328" s="380" t="n"/>
      <c r="K328" s="162">
        <f>IF(AND(A328="",D328="",G328="",H328=""),"",IF(AND(OR(A328&lt;&gt;"",D328&lt;&gt;""),G328=""),"⏳ PENDENTE (falta qtd. apresentada)",IF(AND(G328&lt;&gt;"",OR(A328="",D328="")),"❌ FALTA Nº RECEBIMENTO/ESCOLA",IF(B328="Nº INVÁLIDO","❌ Nº DE RECEBIMENTO INVÁLIDO",IF(E328="CÓDIGO INVÁLIDO","❌ CÓDIGO DE ESCOLA INVÁLIDO",IF(H328&gt;G328,"❌ REJEITADO MAIOR QUE APRESENTADO",IF(AND(A328&lt;&gt;"",SUMIF($A$60:$A$559,A328,$G$60:$G$559)&gt;INDEX($G$7:$G$56,MATCH(A328,$A$7:$A$56,0))+0.01),"❌ DISTRIBUÍDO MAIS QUE O ACEITO NESSE RECEBIMENTO","OK")))))))</f>
        <v/>
      </c>
      <c r="L328" s="389">
        <f>IF(A328="","",ROW()-59)</f>
        <v/>
      </c>
    </row>
    <row r="329" hidden="1" outlineLevel="1" s="163">
      <c r="A329" s="380" t="n"/>
      <c r="B329" s="372">
        <f>IF(A329="","",IFERROR(INDEX($C$7:$C$56,MATCH(A329,$A$7:$A$56,0)),"Nº INVÁLIDO"))</f>
        <v/>
      </c>
      <c r="C329" s="372">
        <f>IF(A329="","",IFERROR(INDEX($D$7:$D$56,MATCH(A329,$A$7:$A$56,0)),"Nº INVÁLIDO"))</f>
        <v/>
      </c>
      <c r="D329" s="380" t="n"/>
      <c r="E329" s="381">
        <f>IF(D329="","",IFERROR(INDEX('Entrada de Dados'!$B$6:$B$196,MATCH(D329,'Entrada de Dados'!$A$6:$A$196,0)),"CÓDIGO INVÁLIDO"))</f>
        <v/>
      </c>
      <c r="F329" s="373" t="n"/>
      <c r="G329" s="375" t="n"/>
      <c r="H329" s="375" t="n"/>
      <c r="I329" s="376">
        <f>IF(G329="",0,MAX(G329-H329,0))</f>
        <v/>
      </c>
      <c r="J329" s="380" t="n"/>
      <c r="K329" s="162">
        <f>IF(AND(A329="",D329="",G329="",H329=""),"",IF(AND(OR(A329&lt;&gt;"",D329&lt;&gt;""),G329=""),"⏳ PENDENTE (falta qtd. apresentada)",IF(AND(G329&lt;&gt;"",OR(A329="",D329="")),"❌ FALTA Nº RECEBIMENTO/ESCOLA",IF(B329="Nº INVÁLIDO","❌ Nº DE RECEBIMENTO INVÁLIDO",IF(E329="CÓDIGO INVÁLIDO","❌ CÓDIGO DE ESCOLA INVÁLIDO",IF(H329&gt;G329,"❌ REJEITADO MAIOR QUE APRESENTADO",IF(AND(A329&lt;&gt;"",SUMIF($A$60:$A$559,A329,$G$60:$G$559)&gt;INDEX($G$7:$G$56,MATCH(A329,$A$7:$A$56,0))+0.01),"❌ DISTRIBUÍDO MAIS QUE O ACEITO NESSE RECEBIMENTO","OK")))))))</f>
        <v/>
      </c>
      <c r="L329" s="389">
        <f>IF(A329="","",ROW()-59)</f>
        <v/>
      </c>
    </row>
    <row r="330" hidden="1" outlineLevel="1" s="163">
      <c r="A330" s="380" t="n"/>
      <c r="B330" s="372">
        <f>IF(A330="","",IFERROR(INDEX($C$7:$C$56,MATCH(A330,$A$7:$A$56,0)),"Nº INVÁLIDO"))</f>
        <v/>
      </c>
      <c r="C330" s="372">
        <f>IF(A330="","",IFERROR(INDEX($D$7:$D$56,MATCH(A330,$A$7:$A$56,0)),"Nº INVÁLIDO"))</f>
        <v/>
      </c>
      <c r="D330" s="380" t="n"/>
      <c r="E330" s="381">
        <f>IF(D330="","",IFERROR(INDEX('Entrada de Dados'!$B$6:$B$196,MATCH(D330,'Entrada de Dados'!$A$6:$A$196,0)),"CÓDIGO INVÁLIDO"))</f>
        <v/>
      </c>
      <c r="F330" s="373" t="n"/>
      <c r="G330" s="375" t="n"/>
      <c r="H330" s="375" t="n"/>
      <c r="I330" s="376">
        <f>IF(G330="",0,MAX(G330-H330,0))</f>
        <v/>
      </c>
      <c r="J330" s="380" t="n"/>
      <c r="K330" s="162">
        <f>IF(AND(A330="",D330="",G330="",H330=""),"",IF(AND(OR(A330&lt;&gt;"",D330&lt;&gt;""),G330=""),"⏳ PENDENTE (falta qtd. apresentada)",IF(AND(G330&lt;&gt;"",OR(A330="",D330="")),"❌ FALTA Nº RECEBIMENTO/ESCOLA",IF(B330="Nº INVÁLIDO","❌ Nº DE RECEBIMENTO INVÁLIDO",IF(E330="CÓDIGO INVÁLIDO","❌ CÓDIGO DE ESCOLA INVÁLIDO",IF(H330&gt;G330,"❌ REJEITADO MAIOR QUE APRESENTADO",IF(AND(A330&lt;&gt;"",SUMIF($A$60:$A$559,A330,$G$60:$G$559)&gt;INDEX($G$7:$G$56,MATCH(A330,$A$7:$A$56,0))+0.01),"❌ DISTRIBUÍDO MAIS QUE O ACEITO NESSE RECEBIMENTO","OK")))))))</f>
        <v/>
      </c>
      <c r="L330" s="389">
        <f>IF(A330="","",ROW()-59)</f>
        <v/>
      </c>
    </row>
    <row r="331" hidden="1" outlineLevel="1" s="163">
      <c r="A331" s="380" t="n"/>
      <c r="B331" s="372">
        <f>IF(A331="","",IFERROR(INDEX($C$7:$C$56,MATCH(A331,$A$7:$A$56,0)),"Nº INVÁLIDO"))</f>
        <v/>
      </c>
      <c r="C331" s="372">
        <f>IF(A331="","",IFERROR(INDEX($D$7:$D$56,MATCH(A331,$A$7:$A$56,0)),"Nº INVÁLIDO"))</f>
        <v/>
      </c>
      <c r="D331" s="380" t="n"/>
      <c r="E331" s="381">
        <f>IF(D331="","",IFERROR(INDEX('Entrada de Dados'!$B$6:$B$196,MATCH(D331,'Entrada de Dados'!$A$6:$A$196,0)),"CÓDIGO INVÁLIDO"))</f>
        <v/>
      </c>
      <c r="F331" s="373" t="n"/>
      <c r="G331" s="375" t="n"/>
      <c r="H331" s="375" t="n"/>
      <c r="I331" s="376">
        <f>IF(G331="",0,MAX(G331-H331,0))</f>
        <v/>
      </c>
      <c r="J331" s="380" t="n"/>
      <c r="K331" s="162">
        <f>IF(AND(A331="",D331="",G331="",H331=""),"",IF(AND(OR(A331&lt;&gt;"",D331&lt;&gt;""),G331=""),"⏳ PENDENTE (falta qtd. apresentada)",IF(AND(G331&lt;&gt;"",OR(A331="",D331="")),"❌ FALTA Nº RECEBIMENTO/ESCOLA",IF(B331="Nº INVÁLIDO","❌ Nº DE RECEBIMENTO INVÁLIDO",IF(E331="CÓDIGO INVÁLIDO","❌ CÓDIGO DE ESCOLA INVÁLIDO",IF(H331&gt;G331,"❌ REJEITADO MAIOR QUE APRESENTADO",IF(AND(A331&lt;&gt;"",SUMIF($A$60:$A$559,A331,$G$60:$G$559)&gt;INDEX($G$7:$G$56,MATCH(A331,$A$7:$A$56,0))+0.01),"❌ DISTRIBUÍDO MAIS QUE O ACEITO NESSE RECEBIMENTO","OK")))))))</f>
        <v/>
      </c>
      <c r="L331" s="389">
        <f>IF(A331="","",ROW()-59)</f>
        <v/>
      </c>
    </row>
    <row r="332" hidden="1" outlineLevel="1" s="163">
      <c r="A332" s="380" t="n"/>
      <c r="B332" s="372">
        <f>IF(A332="","",IFERROR(INDEX($C$7:$C$56,MATCH(A332,$A$7:$A$56,0)),"Nº INVÁLIDO"))</f>
        <v/>
      </c>
      <c r="C332" s="372">
        <f>IF(A332="","",IFERROR(INDEX($D$7:$D$56,MATCH(A332,$A$7:$A$56,0)),"Nº INVÁLIDO"))</f>
        <v/>
      </c>
      <c r="D332" s="380" t="n"/>
      <c r="E332" s="381">
        <f>IF(D332="","",IFERROR(INDEX('Entrada de Dados'!$B$6:$B$196,MATCH(D332,'Entrada de Dados'!$A$6:$A$196,0)),"CÓDIGO INVÁLIDO"))</f>
        <v/>
      </c>
      <c r="F332" s="373" t="n"/>
      <c r="G332" s="375" t="n"/>
      <c r="H332" s="375" t="n"/>
      <c r="I332" s="376">
        <f>IF(G332="",0,MAX(G332-H332,0))</f>
        <v/>
      </c>
      <c r="J332" s="380" t="n"/>
      <c r="K332" s="162">
        <f>IF(AND(A332="",D332="",G332="",H332=""),"",IF(AND(OR(A332&lt;&gt;"",D332&lt;&gt;""),G332=""),"⏳ PENDENTE (falta qtd. apresentada)",IF(AND(G332&lt;&gt;"",OR(A332="",D332="")),"❌ FALTA Nº RECEBIMENTO/ESCOLA",IF(B332="Nº INVÁLIDO","❌ Nº DE RECEBIMENTO INVÁLIDO",IF(E332="CÓDIGO INVÁLIDO","❌ CÓDIGO DE ESCOLA INVÁLIDO",IF(H332&gt;G332,"❌ REJEITADO MAIOR QUE APRESENTADO",IF(AND(A332&lt;&gt;"",SUMIF($A$60:$A$559,A332,$G$60:$G$559)&gt;INDEX($G$7:$G$56,MATCH(A332,$A$7:$A$56,0))+0.01),"❌ DISTRIBUÍDO MAIS QUE O ACEITO NESSE RECEBIMENTO","OK")))))))</f>
        <v/>
      </c>
      <c r="L332" s="389">
        <f>IF(A332="","",ROW()-59)</f>
        <v/>
      </c>
    </row>
    <row r="333" hidden="1" outlineLevel="1" s="163">
      <c r="A333" s="380" t="n"/>
      <c r="B333" s="372">
        <f>IF(A333="","",IFERROR(INDEX($C$7:$C$56,MATCH(A333,$A$7:$A$56,0)),"Nº INVÁLIDO"))</f>
        <v/>
      </c>
      <c r="C333" s="372">
        <f>IF(A333="","",IFERROR(INDEX($D$7:$D$56,MATCH(A333,$A$7:$A$56,0)),"Nº INVÁLIDO"))</f>
        <v/>
      </c>
      <c r="D333" s="380" t="n"/>
      <c r="E333" s="381">
        <f>IF(D333="","",IFERROR(INDEX('Entrada de Dados'!$B$6:$B$196,MATCH(D333,'Entrada de Dados'!$A$6:$A$196,0)),"CÓDIGO INVÁLIDO"))</f>
        <v/>
      </c>
      <c r="F333" s="373" t="n"/>
      <c r="G333" s="375" t="n"/>
      <c r="H333" s="375" t="n"/>
      <c r="I333" s="376">
        <f>IF(G333="",0,MAX(G333-H333,0))</f>
        <v/>
      </c>
      <c r="J333" s="380" t="n"/>
      <c r="K333" s="162">
        <f>IF(AND(A333="",D333="",G333="",H333=""),"",IF(AND(OR(A333&lt;&gt;"",D333&lt;&gt;""),G333=""),"⏳ PENDENTE (falta qtd. apresentada)",IF(AND(G333&lt;&gt;"",OR(A333="",D333="")),"❌ FALTA Nº RECEBIMENTO/ESCOLA",IF(B333="Nº INVÁLIDO","❌ Nº DE RECEBIMENTO INVÁLIDO",IF(E333="CÓDIGO INVÁLIDO","❌ CÓDIGO DE ESCOLA INVÁLIDO",IF(H333&gt;G333,"❌ REJEITADO MAIOR QUE APRESENTADO",IF(AND(A333&lt;&gt;"",SUMIF($A$60:$A$559,A333,$G$60:$G$559)&gt;INDEX($G$7:$G$56,MATCH(A333,$A$7:$A$56,0))+0.01),"❌ DISTRIBUÍDO MAIS QUE O ACEITO NESSE RECEBIMENTO","OK")))))))</f>
        <v/>
      </c>
      <c r="L333" s="389">
        <f>IF(A333="","",ROW()-59)</f>
        <v/>
      </c>
    </row>
    <row r="334" hidden="1" outlineLevel="1" s="163">
      <c r="A334" s="380" t="n"/>
      <c r="B334" s="372">
        <f>IF(A334="","",IFERROR(INDEX($C$7:$C$56,MATCH(A334,$A$7:$A$56,0)),"Nº INVÁLIDO"))</f>
        <v/>
      </c>
      <c r="C334" s="372">
        <f>IF(A334="","",IFERROR(INDEX($D$7:$D$56,MATCH(A334,$A$7:$A$56,0)),"Nº INVÁLIDO"))</f>
        <v/>
      </c>
      <c r="D334" s="380" t="n"/>
      <c r="E334" s="381">
        <f>IF(D334="","",IFERROR(INDEX('Entrada de Dados'!$B$6:$B$196,MATCH(D334,'Entrada de Dados'!$A$6:$A$196,0)),"CÓDIGO INVÁLIDO"))</f>
        <v/>
      </c>
      <c r="F334" s="373" t="n"/>
      <c r="G334" s="375" t="n"/>
      <c r="H334" s="375" t="n"/>
      <c r="I334" s="376">
        <f>IF(G334="",0,MAX(G334-H334,0))</f>
        <v/>
      </c>
      <c r="J334" s="380" t="n"/>
      <c r="K334" s="162">
        <f>IF(AND(A334="",D334="",G334="",H334=""),"",IF(AND(OR(A334&lt;&gt;"",D334&lt;&gt;""),G334=""),"⏳ PENDENTE (falta qtd. apresentada)",IF(AND(G334&lt;&gt;"",OR(A334="",D334="")),"❌ FALTA Nº RECEBIMENTO/ESCOLA",IF(B334="Nº INVÁLIDO","❌ Nº DE RECEBIMENTO INVÁLIDO",IF(E334="CÓDIGO INVÁLIDO","❌ CÓDIGO DE ESCOLA INVÁLIDO",IF(H334&gt;G334,"❌ REJEITADO MAIOR QUE APRESENTADO",IF(AND(A334&lt;&gt;"",SUMIF($A$60:$A$559,A334,$G$60:$G$559)&gt;INDEX($G$7:$G$56,MATCH(A334,$A$7:$A$56,0))+0.01),"❌ DISTRIBUÍDO MAIS QUE O ACEITO NESSE RECEBIMENTO","OK")))))))</f>
        <v/>
      </c>
      <c r="L334" s="389">
        <f>IF(A334="","",ROW()-59)</f>
        <v/>
      </c>
    </row>
    <row r="335" hidden="1" outlineLevel="1" s="163">
      <c r="A335" s="380" t="n"/>
      <c r="B335" s="372">
        <f>IF(A335="","",IFERROR(INDEX($C$7:$C$56,MATCH(A335,$A$7:$A$56,0)),"Nº INVÁLIDO"))</f>
        <v/>
      </c>
      <c r="C335" s="372">
        <f>IF(A335="","",IFERROR(INDEX($D$7:$D$56,MATCH(A335,$A$7:$A$56,0)),"Nº INVÁLIDO"))</f>
        <v/>
      </c>
      <c r="D335" s="380" t="n"/>
      <c r="E335" s="381">
        <f>IF(D335="","",IFERROR(INDEX('Entrada de Dados'!$B$6:$B$196,MATCH(D335,'Entrada de Dados'!$A$6:$A$196,0)),"CÓDIGO INVÁLIDO"))</f>
        <v/>
      </c>
      <c r="F335" s="373" t="n"/>
      <c r="G335" s="375" t="n"/>
      <c r="H335" s="375" t="n"/>
      <c r="I335" s="376">
        <f>IF(G335="",0,MAX(G335-H335,0))</f>
        <v/>
      </c>
      <c r="J335" s="380" t="n"/>
      <c r="K335" s="162">
        <f>IF(AND(A335="",D335="",G335="",H335=""),"",IF(AND(OR(A335&lt;&gt;"",D335&lt;&gt;""),G335=""),"⏳ PENDENTE (falta qtd. apresentada)",IF(AND(G335&lt;&gt;"",OR(A335="",D335="")),"❌ FALTA Nº RECEBIMENTO/ESCOLA",IF(B335="Nº INVÁLIDO","❌ Nº DE RECEBIMENTO INVÁLIDO",IF(E335="CÓDIGO INVÁLIDO","❌ CÓDIGO DE ESCOLA INVÁLIDO",IF(H335&gt;G335,"❌ REJEITADO MAIOR QUE APRESENTADO",IF(AND(A335&lt;&gt;"",SUMIF($A$60:$A$559,A335,$G$60:$G$559)&gt;INDEX($G$7:$G$56,MATCH(A335,$A$7:$A$56,0))+0.01),"❌ DISTRIBUÍDO MAIS QUE O ACEITO NESSE RECEBIMENTO","OK")))))))</f>
        <v/>
      </c>
      <c r="L335" s="389">
        <f>IF(A335="","",ROW()-59)</f>
        <v/>
      </c>
    </row>
    <row r="336" hidden="1" outlineLevel="1" s="163">
      <c r="A336" s="380" t="n"/>
      <c r="B336" s="372">
        <f>IF(A336="","",IFERROR(INDEX($C$7:$C$56,MATCH(A336,$A$7:$A$56,0)),"Nº INVÁLIDO"))</f>
        <v/>
      </c>
      <c r="C336" s="372">
        <f>IF(A336="","",IFERROR(INDEX($D$7:$D$56,MATCH(A336,$A$7:$A$56,0)),"Nº INVÁLIDO"))</f>
        <v/>
      </c>
      <c r="D336" s="380" t="n"/>
      <c r="E336" s="381">
        <f>IF(D336="","",IFERROR(INDEX('Entrada de Dados'!$B$6:$B$196,MATCH(D336,'Entrada de Dados'!$A$6:$A$196,0)),"CÓDIGO INVÁLIDO"))</f>
        <v/>
      </c>
      <c r="F336" s="373" t="n"/>
      <c r="G336" s="375" t="n"/>
      <c r="H336" s="375" t="n"/>
      <c r="I336" s="376">
        <f>IF(G336="",0,MAX(G336-H336,0))</f>
        <v/>
      </c>
      <c r="J336" s="380" t="n"/>
      <c r="K336" s="162">
        <f>IF(AND(A336="",D336="",G336="",H336=""),"",IF(AND(OR(A336&lt;&gt;"",D336&lt;&gt;""),G336=""),"⏳ PENDENTE (falta qtd. apresentada)",IF(AND(G336&lt;&gt;"",OR(A336="",D336="")),"❌ FALTA Nº RECEBIMENTO/ESCOLA",IF(B336="Nº INVÁLIDO","❌ Nº DE RECEBIMENTO INVÁLIDO",IF(E336="CÓDIGO INVÁLIDO","❌ CÓDIGO DE ESCOLA INVÁLIDO",IF(H336&gt;G336,"❌ REJEITADO MAIOR QUE APRESENTADO",IF(AND(A336&lt;&gt;"",SUMIF($A$60:$A$559,A336,$G$60:$G$559)&gt;INDEX($G$7:$G$56,MATCH(A336,$A$7:$A$56,0))+0.01),"❌ DISTRIBUÍDO MAIS QUE O ACEITO NESSE RECEBIMENTO","OK")))))))</f>
        <v/>
      </c>
      <c r="L336" s="389">
        <f>IF(A336="","",ROW()-59)</f>
        <v/>
      </c>
    </row>
    <row r="337" hidden="1" outlineLevel="1" s="163">
      <c r="A337" s="380" t="n"/>
      <c r="B337" s="372">
        <f>IF(A337="","",IFERROR(INDEX($C$7:$C$56,MATCH(A337,$A$7:$A$56,0)),"Nº INVÁLIDO"))</f>
        <v/>
      </c>
      <c r="C337" s="372">
        <f>IF(A337="","",IFERROR(INDEX($D$7:$D$56,MATCH(A337,$A$7:$A$56,0)),"Nº INVÁLIDO"))</f>
        <v/>
      </c>
      <c r="D337" s="380" t="n"/>
      <c r="E337" s="381">
        <f>IF(D337="","",IFERROR(INDEX('Entrada de Dados'!$B$6:$B$196,MATCH(D337,'Entrada de Dados'!$A$6:$A$196,0)),"CÓDIGO INVÁLIDO"))</f>
        <v/>
      </c>
      <c r="F337" s="373" t="n"/>
      <c r="G337" s="375" t="n"/>
      <c r="H337" s="375" t="n"/>
      <c r="I337" s="376">
        <f>IF(G337="",0,MAX(G337-H337,0))</f>
        <v/>
      </c>
      <c r="J337" s="380" t="n"/>
      <c r="K337" s="162">
        <f>IF(AND(A337="",D337="",G337="",H337=""),"",IF(AND(OR(A337&lt;&gt;"",D337&lt;&gt;""),G337=""),"⏳ PENDENTE (falta qtd. apresentada)",IF(AND(G337&lt;&gt;"",OR(A337="",D337="")),"❌ FALTA Nº RECEBIMENTO/ESCOLA",IF(B337="Nº INVÁLIDO","❌ Nº DE RECEBIMENTO INVÁLIDO",IF(E337="CÓDIGO INVÁLIDO","❌ CÓDIGO DE ESCOLA INVÁLIDO",IF(H337&gt;G337,"❌ REJEITADO MAIOR QUE APRESENTADO",IF(AND(A337&lt;&gt;"",SUMIF($A$60:$A$559,A337,$G$60:$G$559)&gt;INDEX($G$7:$G$56,MATCH(A337,$A$7:$A$56,0))+0.01),"❌ DISTRIBUÍDO MAIS QUE O ACEITO NESSE RECEBIMENTO","OK")))))))</f>
        <v/>
      </c>
      <c r="L337" s="389">
        <f>IF(A337="","",ROW()-59)</f>
        <v/>
      </c>
    </row>
    <row r="338" hidden="1" outlineLevel="1" s="163">
      <c r="A338" s="380" t="n"/>
      <c r="B338" s="372">
        <f>IF(A338="","",IFERROR(INDEX($C$7:$C$56,MATCH(A338,$A$7:$A$56,0)),"Nº INVÁLIDO"))</f>
        <v/>
      </c>
      <c r="C338" s="372">
        <f>IF(A338="","",IFERROR(INDEX($D$7:$D$56,MATCH(A338,$A$7:$A$56,0)),"Nº INVÁLIDO"))</f>
        <v/>
      </c>
      <c r="D338" s="380" t="n"/>
      <c r="E338" s="381">
        <f>IF(D338="","",IFERROR(INDEX('Entrada de Dados'!$B$6:$B$196,MATCH(D338,'Entrada de Dados'!$A$6:$A$196,0)),"CÓDIGO INVÁLIDO"))</f>
        <v/>
      </c>
      <c r="F338" s="373" t="n"/>
      <c r="G338" s="375" t="n"/>
      <c r="H338" s="375" t="n"/>
      <c r="I338" s="376">
        <f>IF(G338="",0,MAX(G338-H338,0))</f>
        <v/>
      </c>
      <c r="J338" s="380" t="n"/>
      <c r="K338" s="162">
        <f>IF(AND(A338="",D338="",G338="",H338=""),"",IF(AND(OR(A338&lt;&gt;"",D338&lt;&gt;""),G338=""),"⏳ PENDENTE (falta qtd. apresentada)",IF(AND(G338&lt;&gt;"",OR(A338="",D338="")),"❌ FALTA Nº RECEBIMENTO/ESCOLA",IF(B338="Nº INVÁLIDO","❌ Nº DE RECEBIMENTO INVÁLIDO",IF(E338="CÓDIGO INVÁLIDO","❌ CÓDIGO DE ESCOLA INVÁLIDO",IF(H338&gt;G338,"❌ REJEITADO MAIOR QUE APRESENTADO",IF(AND(A338&lt;&gt;"",SUMIF($A$60:$A$559,A338,$G$60:$G$559)&gt;INDEX($G$7:$G$56,MATCH(A338,$A$7:$A$56,0))+0.01),"❌ DISTRIBUÍDO MAIS QUE O ACEITO NESSE RECEBIMENTO","OK")))))))</f>
        <v/>
      </c>
      <c r="L338" s="389">
        <f>IF(A338="","",ROW()-59)</f>
        <v/>
      </c>
    </row>
    <row r="339" hidden="1" outlineLevel="1" s="163">
      <c r="A339" s="380" t="n"/>
      <c r="B339" s="372">
        <f>IF(A339="","",IFERROR(INDEX($C$7:$C$56,MATCH(A339,$A$7:$A$56,0)),"Nº INVÁLIDO"))</f>
        <v/>
      </c>
      <c r="C339" s="372">
        <f>IF(A339="","",IFERROR(INDEX($D$7:$D$56,MATCH(A339,$A$7:$A$56,0)),"Nº INVÁLIDO"))</f>
        <v/>
      </c>
      <c r="D339" s="380" t="n"/>
      <c r="E339" s="381">
        <f>IF(D339="","",IFERROR(INDEX('Entrada de Dados'!$B$6:$B$196,MATCH(D339,'Entrada de Dados'!$A$6:$A$196,0)),"CÓDIGO INVÁLIDO"))</f>
        <v/>
      </c>
      <c r="F339" s="373" t="n"/>
      <c r="G339" s="375" t="n"/>
      <c r="H339" s="375" t="n"/>
      <c r="I339" s="376">
        <f>IF(G339="",0,MAX(G339-H339,0))</f>
        <v/>
      </c>
      <c r="J339" s="380" t="n"/>
      <c r="K339" s="162">
        <f>IF(AND(A339="",D339="",G339="",H339=""),"",IF(AND(OR(A339&lt;&gt;"",D339&lt;&gt;""),G339=""),"⏳ PENDENTE (falta qtd. apresentada)",IF(AND(G339&lt;&gt;"",OR(A339="",D339="")),"❌ FALTA Nº RECEBIMENTO/ESCOLA",IF(B339="Nº INVÁLIDO","❌ Nº DE RECEBIMENTO INVÁLIDO",IF(E339="CÓDIGO INVÁLIDO","❌ CÓDIGO DE ESCOLA INVÁLIDO",IF(H339&gt;G339,"❌ REJEITADO MAIOR QUE APRESENTADO",IF(AND(A339&lt;&gt;"",SUMIF($A$60:$A$559,A339,$G$60:$G$559)&gt;INDEX($G$7:$G$56,MATCH(A339,$A$7:$A$56,0))+0.01),"❌ DISTRIBUÍDO MAIS QUE O ACEITO NESSE RECEBIMENTO","OK")))))))</f>
        <v/>
      </c>
      <c r="L339" s="389">
        <f>IF(A339="","",ROW()-59)</f>
        <v/>
      </c>
    </row>
    <row r="340" hidden="1" outlineLevel="1" s="163">
      <c r="A340" s="380" t="n"/>
      <c r="B340" s="372">
        <f>IF(A340="","",IFERROR(INDEX($C$7:$C$56,MATCH(A340,$A$7:$A$56,0)),"Nº INVÁLIDO"))</f>
        <v/>
      </c>
      <c r="C340" s="372">
        <f>IF(A340="","",IFERROR(INDEX($D$7:$D$56,MATCH(A340,$A$7:$A$56,0)),"Nº INVÁLIDO"))</f>
        <v/>
      </c>
      <c r="D340" s="380" t="n"/>
      <c r="E340" s="381">
        <f>IF(D340="","",IFERROR(INDEX('Entrada de Dados'!$B$6:$B$196,MATCH(D340,'Entrada de Dados'!$A$6:$A$196,0)),"CÓDIGO INVÁLIDO"))</f>
        <v/>
      </c>
      <c r="F340" s="373" t="n"/>
      <c r="G340" s="375" t="n"/>
      <c r="H340" s="375" t="n"/>
      <c r="I340" s="376">
        <f>IF(G340="",0,MAX(G340-H340,0))</f>
        <v/>
      </c>
      <c r="J340" s="380" t="n"/>
      <c r="K340" s="162">
        <f>IF(AND(A340="",D340="",G340="",H340=""),"",IF(AND(OR(A340&lt;&gt;"",D340&lt;&gt;""),G340=""),"⏳ PENDENTE (falta qtd. apresentada)",IF(AND(G340&lt;&gt;"",OR(A340="",D340="")),"❌ FALTA Nº RECEBIMENTO/ESCOLA",IF(B340="Nº INVÁLIDO","❌ Nº DE RECEBIMENTO INVÁLIDO",IF(E340="CÓDIGO INVÁLIDO","❌ CÓDIGO DE ESCOLA INVÁLIDO",IF(H340&gt;G340,"❌ REJEITADO MAIOR QUE APRESENTADO",IF(AND(A340&lt;&gt;"",SUMIF($A$60:$A$559,A340,$G$60:$G$559)&gt;INDEX($G$7:$G$56,MATCH(A340,$A$7:$A$56,0))+0.01),"❌ DISTRIBUÍDO MAIS QUE O ACEITO NESSE RECEBIMENTO","OK")))))))</f>
        <v/>
      </c>
      <c r="L340" s="389">
        <f>IF(A340="","",ROW()-59)</f>
        <v/>
      </c>
    </row>
    <row r="341" hidden="1" outlineLevel="1" s="163">
      <c r="A341" s="380" t="n"/>
      <c r="B341" s="372">
        <f>IF(A341="","",IFERROR(INDEX($C$7:$C$56,MATCH(A341,$A$7:$A$56,0)),"Nº INVÁLIDO"))</f>
        <v/>
      </c>
      <c r="C341" s="372">
        <f>IF(A341="","",IFERROR(INDEX($D$7:$D$56,MATCH(A341,$A$7:$A$56,0)),"Nº INVÁLIDO"))</f>
        <v/>
      </c>
      <c r="D341" s="380" t="n"/>
      <c r="E341" s="381">
        <f>IF(D341="","",IFERROR(INDEX('Entrada de Dados'!$B$6:$B$196,MATCH(D341,'Entrada de Dados'!$A$6:$A$196,0)),"CÓDIGO INVÁLIDO"))</f>
        <v/>
      </c>
      <c r="F341" s="373" t="n"/>
      <c r="G341" s="375" t="n"/>
      <c r="H341" s="375" t="n"/>
      <c r="I341" s="376">
        <f>IF(G341="",0,MAX(G341-H341,0))</f>
        <v/>
      </c>
      <c r="J341" s="380" t="n"/>
      <c r="K341" s="162">
        <f>IF(AND(A341="",D341="",G341="",H341=""),"",IF(AND(OR(A341&lt;&gt;"",D341&lt;&gt;""),G341=""),"⏳ PENDENTE (falta qtd. apresentada)",IF(AND(G341&lt;&gt;"",OR(A341="",D341="")),"❌ FALTA Nº RECEBIMENTO/ESCOLA",IF(B341="Nº INVÁLIDO","❌ Nº DE RECEBIMENTO INVÁLIDO",IF(E341="CÓDIGO INVÁLIDO","❌ CÓDIGO DE ESCOLA INVÁLIDO",IF(H341&gt;G341,"❌ REJEITADO MAIOR QUE APRESENTADO",IF(AND(A341&lt;&gt;"",SUMIF($A$60:$A$559,A341,$G$60:$G$559)&gt;INDEX($G$7:$G$56,MATCH(A341,$A$7:$A$56,0))+0.01),"❌ DISTRIBUÍDO MAIS QUE O ACEITO NESSE RECEBIMENTO","OK")))))))</f>
        <v/>
      </c>
      <c r="L341" s="389">
        <f>IF(A341="","",ROW()-59)</f>
        <v/>
      </c>
    </row>
    <row r="342" hidden="1" outlineLevel="1" s="163">
      <c r="A342" s="380" t="n"/>
      <c r="B342" s="372">
        <f>IF(A342="","",IFERROR(INDEX($C$7:$C$56,MATCH(A342,$A$7:$A$56,0)),"Nº INVÁLIDO"))</f>
        <v/>
      </c>
      <c r="C342" s="372">
        <f>IF(A342="","",IFERROR(INDEX($D$7:$D$56,MATCH(A342,$A$7:$A$56,0)),"Nº INVÁLIDO"))</f>
        <v/>
      </c>
      <c r="D342" s="380" t="n"/>
      <c r="E342" s="381">
        <f>IF(D342="","",IFERROR(INDEX('Entrada de Dados'!$B$6:$B$196,MATCH(D342,'Entrada de Dados'!$A$6:$A$196,0)),"CÓDIGO INVÁLIDO"))</f>
        <v/>
      </c>
      <c r="F342" s="373" t="n"/>
      <c r="G342" s="375" t="n"/>
      <c r="H342" s="375" t="n"/>
      <c r="I342" s="376">
        <f>IF(G342="",0,MAX(G342-H342,0))</f>
        <v/>
      </c>
      <c r="J342" s="380" t="n"/>
      <c r="K342" s="162">
        <f>IF(AND(A342="",D342="",G342="",H342=""),"",IF(AND(OR(A342&lt;&gt;"",D342&lt;&gt;""),G342=""),"⏳ PENDENTE (falta qtd. apresentada)",IF(AND(G342&lt;&gt;"",OR(A342="",D342="")),"❌ FALTA Nº RECEBIMENTO/ESCOLA",IF(B342="Nº INVÁLIDO","❌ Nº DE RECEBIMENTO INVÁLIDO",IF(E342="CÓDIGO INVÁLIDO","❌ CÓDIGO DE ESCOLA INVÁLIDO",IF(H342&gt;G342,"❌ REJEITADO MAIOR QUE APRESENTADO",IF(AND(A342&lt;&gt;"",SUMIF($A$60:$A$559,A342,$G$60:$G$559)&gt;INDEX($G$7:$G$56,MATCH(A342,$A$7:$A$56,0))+0.01),"❌ DISTRIBUÍDO MAIS QUE O ACEITO NESSE RECEBIMENTO","OK")))))))</f>
        <v/>
      </c>
      <c r="L342" s="389">
        <f>IF(A342="","",ROW()-59)</f>
        <v/>
      </c>
    </row>
    <row r="343" hidden="1" outlineLevel="1" s="163">
      <c r="A343" s="380" t="n"/>
      <c r="B343" s="372">
        <f>IF(A343="","",IFERROR(INDEX($C$7:$C$56,MATCH(A343,$A$7:$A$56,0)),"Nº INVÁLIDO"))</f>
        <v/>
      </c>
      <c r="C343" s="372">
        <f>IF(A343="","",IFERROR(INDEX($D$7:$D$56,MATCH(A343,$A$7:$A$56,0)),"Nº INVÁLIDO"))</f>
        <v/>
      </c>
      <c r="D343" s="380" t="n"/>
      <c r="E343" s="381">
        <f>IF(D343="","",IFERROR(INDEX('Entrada de Dados'!$B$6:$B$196,MATCH(D343,'Entrada de Dados'!$A$6:$A$196,0)),"CÓDIGO INVÁLIDO"))</f>
        <v/>
      </c>
      <c r="F343" s="373" t="n"/>
      <c r="G343" s="375" t="n"/>
      <c r="H343" s="375" t="n"/>
      <c r="I343" s="376">
        <f>IF(G343="",0,MAX(G343-H343,0))</f>
        <v/>
      </c>
      <c r="J343" s="380" t="n"/>
      <c r="K343" s="162">
        <f>IF(AND(A343="",D343="",G343="",H343=""),"",IF(AND(OR(A343&lt;&gt;"",D343&lt;&gt;""),G343=""),"⏳ PENDENTE (falta qtd. apresentada)",IF(AND(G343&lt;&gt;"",OR(A343="",D343="")),"❌ FALTA Nº RECEBIMENTO/ESCOLA",IF(B343="Nº INVÁLIDO","❌ Nº DE RECEBIMENTO INVÁLIDO",IF(E343="CÓDIGO INVÁLIDO","❌ CÓDIGO DE ESCOLA INVÁLIDO",IF(H343&gt;G343,"❌ REJEITADO MAIOR QUE APRESENTADO",IF(AND(A343&lt;&gt;"",SUMIF($A$60:$A$559,A343,$G$60:$G$559)&gt;INDEX($G$7:$G$56,MATCH(A343,$A$7:$A$56,0))+0.01),"❌ DISTRIBUÍDO MAIS QUE O ACEITO NESSE RECEBIMENTO","OK")))))))</f>
        <v/>
      </c>
      <c r="L343" s="389">
        <f>IF(A343="","",ROW()-59)</f>
        <v/>
      </c>
    </row>
    <row r="344" hidden="1" outlineLevel="1" s="163">
      <c r="A344" s="380" t="n"/>
      <c r="B344" s="372">
        <f>IF(A344="","",IFERROR(INDEX($C$7:$C$56,MATCH(A344,$A$7:$A$56,0)),"Nº INVÁLIDO"))</f>
        <v/>
      </c>
      <c r="C344" s="372">
        <f>IF(A344="","",IFERROR(INDEX($D$7:$D$56,MATCH(A344,$A$7:$A$56,0)),"Nº INVÁLIDO"))</f>
        <v/>
      </c>
      <c r="D344" s="380" t="n"/>
      <c r="E344" s="381">
        <f>IF(D344="","",IFERROR(INDEX('Entrada de Dados'!$B$6:$B$196,MATCH(D344,'Entrada de Dados'!$A$6:$A$196,0)),"CÓDIGO INVÁLIDO"))</f>
        <v/>
      </c>
      <c r="F344" s="373" t="n"/>
      <c r="G344" s="375" t="n"/>
      <c r="H344" s="375" t="n"/>
      <c r="I344" s="376">
        <f>IF(G344="",0,MAX(G344-H344,0))</f>
        <v/>
      </c>
      <c r="J344" s="380" t="n"/>
      <c r="K344" s="162">
        <f>IF(AND(A344="",D344="",G344="",H344=""),"",IF(AND(OR(A344&lt;&gt;"",D344&lt;&gt;""),G344=""),"⏳ PENDENTE (falta qtd. apresentada)",IF(AND(G344&lt;&gt;"",OR(A344="",D344="")),"❌ FALTA Nº RECEBIMENTO/ESCOLA",IF(B344="Nº INVÁLIDO","❌ Nº DE RECEBIMENTO INVÁLIDO",IF(E344="CÓDIGO INVÁLIDO","❌ CÓDIGO DE ESCOLA INVÁLIDO",IF(H344&gt;G344,"❌ REJEITADO MAIOR QUE APRESENTADO",IF(AND(A344&lt;&gt;"",SUMIF($A$60:$A$559,A344,$G$60:$G$559)&gt;INDEX($G$7:$G$56,MATCH(A344,$A$7:$A$56,0))+0.01),"❌ DISTRIBUÍDO MAIS QUE O ACEITO NESSE RECEBIMENTO","OK")))))))</f>
        <v/>
      </c>
      <c r="L344" s="389">
        <f>IF(A344="","",ROW()-59)</f>
        <v/>
      </c>
    </row>
    <row r="345" hidden="1" outlineLevel="1" s="163">
      <c r="A345" s="380" t="n"/>
      <c r="B345" s="372">
        <f>IF(A345="","",IFERROR(INDEX($C$7:$C$56,MATCH(A345,$A$7:$A$56,0)),"Nº INVÁLIDO"))</f>
        <v/>
      </c>
      <c r="C345" s="372">
        <f>IF(A345="","",IFERROR(INDEX($D$7:$D$56,MATCH(A345,$A$7:$A$56,0)),"Nº INVÁLIDO"))</f>
        <v/>
      </c>
      <c r="D345" s="380" t="n"/>
      <c r="E345" s="381">
        <f>IF(D345="","",IFERROR(INDEX('Entrada de Dados'!$B$6:$B$196,MATCH(D345,'Entrada de Dados'!$A$6:$A$196,0)),"CÓDIGO INVÁLIDO"))</f>
        <v/>
      </c>
      <c r="F345" s="373" t="n"/>
      <c r="G345" s="375" t="n"/>
      <c r="H345" s="375" t="n"/>
      <c r="I345" s="376">
        <f>IF(G345="",0,MAX(G345-H345,0))</f>
        <v/>
      </c>
      <c r="J345" s="380" t="n"/>
      <c r="K345" s="162">
        <f>IF(AND(A345="",D345="",G345="",H345=""),"",IF(AND(OR(A345&lt;&gt;"",D345&lt;&gt;""),G345=""),"⏳ PENDENTE (falta qtd. apresentada)",IF(AND(G345&lt;&gt;"",OR(A345="",D345="")),"❌ FALTA Nº RECEBIMENTO/ESCOLA",IF(B345="Nº INVÁLIDO","❌ Nº DE RECEBIMENTO INVÁLIDO",IF(E345="CÓDIGO INVÁLIDO","❌ CÓDIGO DE ESCOLA INVÁLIDO",IF(H345&gt;G345,"❌ REJEITADO MAIOR QUE APRESENTADO",IF(AND(A345&lt;&gt;"",SUMIF($A$60:$A$559,A345,$G$60:$G$559)&gt;INDEX($G$7:$G$56,MATCH(A345,$A$7:$A$56,0))+0.01),"❌ DISTRIBUÍDO MAIS QUE O ACEITO NESSE RECEBIMENTO","OK")))))))</f>
        <v/>
      </c>
      <c r="L345" s="389">
        <f>IF(A345="","",ROW()-59)</f>
        <v/>
      </c>
    </row>
    <row r="346" hidden="1" outlineLevel="1" s="163">
      <c r="A346" s="380" t="n"/>
      <c r="B346" s="372">
        <f>IF(A346="","",IFERROR(INDEX($C$7:$C$56,MATCH(A346,$A$7:$A$56,0)),"Nº INVÁLIDO"))</f>
        <v/>
      </c>
      <c r="C346" s="372">
        <f>IF(A346="","",IFERROR(INDEX($D$7:$D$56,MATCH(A346,$A$7:$A$56,0)),"Nº INVÁLIDO"))</f>
        <v/>
      </c>
      <c r="D346" s="380" t="n"/>
      <c r="E346" s="381">
        <f>IF(D346="","",IFERROR(INDEX('Entrada de Dados'!$B$6:$B$196,MATCH(D346,'Entrada de Dados'!$A$6:$A$196,0)),"CÓDIGO INVÁLIDO"))</f>
        <v/>
      </c>
      <c r="F346" s="373" t="n"/>
      <c r="G346" s="375" t="n"/>
      <c r="H346" s="375" t="n"/>
      <c r="I346" s="376">
        <f>IF(G346="",0,MAX(G346-H346,0))</f>
        <v/>
      </c>
      <c r="J346" s="380" t="n"/>
      <c r="K346" s="162">
        <f>IF(AND(A346="",D346="",G346="",H346=""),"",IF(AND(OR(A346&lt;&gt;"",D346&lt;&gt;""),G346=""),"⏳ PENDENTE (falta qtd. apresentada)",IF(AND(G346&lt;&gt;"",OR(A346="",D346="")),"❌ FALTA Nº RECEBIMENTO/ESCOLA",IF(B346="Nº INVÁLIDO","❌ Nº DE RECEBIMENTO INVÁLIDO",IF(E346="CÓDIGO INVÁLIDO","❌ CÓDIGO DE ESCOLA INVÁLIDO",IF(H346&gt;G346,"❌ REJEITADO MAIOR QUE APRESENTADO",IF(AND(A346&lt;&gt;"",SUMIF($A$60:$A$559,A346,$G$60:$G$559)&gt;INDEX($G$7:$G$56,MATCH(A346,$A$7:$A$56,0))+0.01),"❌ DISTRIBUÍDO MAIS QUE O ACEITO NESSE RECEBIMENTO","OK")))))))</f>
        <v/>
      </c>
      <c r="L346" s="389">
        <f>IF(A346="","",ROW()-59)</f>
        <v/>
      </c>
    </row>
    <row r="347" hidden="1" outlineLevel="1" s="163">
      <c r="A347" s="380" t="n"/>
      <c r="B347" s="372">
        <f>IF(A347="","",IFERROR(INDEX($C$7:$C$56,MATCH(A347,$A$7:$A$56,0)),"Nº INVÁLIDO"))</f>
        <v/>
      </c>
      <c r="C347" s="372">
        <f>IF(A347="","",IFERROR(INDEX($D$7:$D$56,MATCH(A347,$A$7:$A$56,0)),"Nº INVÁLIDO"))</f>
        <v/>
      </c>
      <c r="D347" s="380" t="n"/>
      <c r="E347" s="381">
        <f>IF(D347="","",IFERROR(INDEX('Entrada de Dados'!$B$6:$B$196,MATCH(D347,'Entrada de Dados'!$A$6:$A$196,0)),"CÓDIGO INVÁLIDO"))</f>
        <v/>
      </c>
      <c r="F347" s="373" t="n"/>
      <c r="G347" s="375" t="n"/>
      <c r="H347" s="375" t="n"/>
      <c r="I347" s="376">
        <f>IF(G347="",0,MAX(G347-H347,0))</f>
        <v/>
      </c>
      <c r="J347" s="380" t="n"/>
      <c r="K347" s="162">
        <f>IF(AND(A347="",D347="",G347="",H347=""),"",IF(AND(OR(A347&lt;&gt;"",D347&lt;&gt;""),G347=""),"⏳ PENDENTE (falta qtd. apresentada)",IF(AND(G347&lt;&gt;"",OR(A347="",D347="")),"❌ FALTA Nº RECEBIMENTO/ESCOLA",IF(B347="Nº INVÁLIDO","❌ Nº DE RECEBIMENTO INVÁLIDO",IF(E347="CÓDIGO INVÁLIDO","❌ CÓDIGO DE ESCOLA INVÁLIDO",IF(H347&gt;G347,"❌ REJEITADO MAIOR QUE APRESENTADO",IF(AND(A347&lt;&gt;"",SUMIF($A$60:$A$559,A347,$G$60:$G$559)&gt;INDEX($G$7:$G$56,MATCH(A347,$A$7:$A$56,0))+0.01),"❌ DISTRIBUÍDO MAIS QUE O ACEITO NESSE RECEBIMENTO","OK")))))))</f>
        <v/>
      </c>
      <c r="L347" s="389">
        <f>IF(A347="","",ROW()-59)</f>
        <v/>
      </c>
    </row>
    <row r="348" hidden="1" outlineLevel="1" s="163">
      <c r="A348" s="380" t="n"/>
      <c r="B348" s="372">
        <f>IF(A348="","",IFERROR(INDEX($C$7:$C$56,MATCH(A348,$A$7:$A$56,0)),"Nº INVÁLIDO"))</f>
        <v/>
      </c>
      <c r="C348" s="372">
        <f>IF(A348="","",IFERROR(INDEX($D$7:$D$56,MATCH(A348,$A$7:$A$56,0)),"Nº INVÁLIDO"))</f>
        <v/>
      </c>
      <c r="D348" s="380" t="n"/>
      <c r="E348" s="381">
        <f>IF(D348="","",IFERROR(INDEX('Entrada de Dados'!$B$6:$B$196,MATCH(D348,'Entrada de Dados'!$A$6:$A$196,0)),"CÓDIGO INVÁLIDO"))</f>
        <v/>
      </c>
      <c r="F348" s="373" t="n"/>
      <c r="G348" s="375" t="n"/>
      <c r="H348" s="375" t="n"/>
      <c r="I348" s="376">
        <f>IF(G348="",0,MAX(G348-H348,0))</f>
        <v/>
      </c>
      <c r="J348" s="380" t="n"/>
      <c r="K348" s="162">
        <f>IF(AND(A348="",D348="",G348="",H348=""),"",IF(AND(OR(A348&lt;&gt;"",D348&lt;&gt;""),G348=""),"⏳ PENDENTE (falta qtd. apresentada)",IF(AND(G348&lt;&gt;"",OR(A348="",D348="")),"❌ FALTA Nº RECEBIMENTO/ESCOLA",IF(B348="Nº INVÁLIDO","❌ Nº DE RECEBIMENTO INVÁLIDO",IF(E348="CÓDIGO INVÁLIDO","❌ CÓDIGO DE ESCOLA INVÁLIDO",IF(H348&gt;G348,"❌ REJEITADO MAIOR QUE APRESENTADO",IF(AND(A348&lt;&gt;"",SUMIF($A$60:$A$559,A348,$G$60:$G$559)&gt;INDEX($G$7:$G$56,MATCH(A348,$A$7:$A$56,0))+0.01),"❌ DISTRIBUÍDO MAIS QUE O ACEITO NESSE RECEBIMENTO","OK")))))))</f>
        <v/>
      </c>
      <c r="L348" s="389">
        <f>IF(A348="","",ROW()-59)</f>
        <v/>
      </c>
    </row>
    <row r="349" hidden="1" outlineLevel="1" s="163">
      <c r="A349" s="380" t="n"/>
      <c r="B349" s="372">
        <f>IF(A349="","",IFERROR(INDEX($C$7:$C$56,MATCH(A349,$A$7:$A$56,0)),"Nº INVÁLIDO"))</f>
        <v/>
      </c>
      <c r="C349" s="372">
        <f>IF(A349="","",IFERROR(INDEX($D$7:$D$56,MATCH(A349,$A$7:$A$56,0)),"Nº INVÁLIDO"))</f>
        <v/>
      </c>
      <c r="D349" s="380" t="n"/>
      <c r="E349" s="381">
        <f>IF(D349="","",IFERROR(INDEX('Entrada de Dados'!$B$6:$B$196,MATCH(D349,'Entrada de Dados'!$A$6:$A$196,0)),"CÓDIGO INVÁLIDO"))</f>
        <v/>
      </c>
      <c r="F349" s="373" t="n"/>
      <c r="G349" s="375" t="n"/>
      <c r="H349" s="375" t="n"/>
      <c r="I349" s="376">
        <f>IF(G349="",0,MAX(G349-H349,0))</f>
        <v/>
      </c>
      <c r="J349" s="380" t="n"/>
      <c r="K349" s="162">
        <f>IF(AND(A349="",D349="",G349="",H349=""),"",IF(AND(OR(A349&lt;&gt;"",D349&lt;&gt;""),G349=""),"⏳ PENDENTE (falta qtd. apresentada)",IF(AND(G349&lt;&gt;"",OR(A349="",D349="")),"❌ FALTA Nº RECEBIMENTO/ESCOLA",IF(B349="Nº INVÁLIDO","❌ Nº DE RECEBIMENTO INVÁLIDO",IF(E349="CÓDIGO INVÁLIDO","❌ CÓDIGO DE ESCOLA INVÁLIDO",IF(H349&gt;G349,"❌ REJEITADO MAIOR QUE APRESENTADO",IF(AND(A349&lt;&gt;"",SUMIF($A$60:$A$559,A349,$G$60:$G$559)&gt;INDEX($G$7:$G$56,MATCH(A349,$A$7:$A$56,0))+0.01),"❌ DISTRIBUÍDO MAIS QUE O ACEITO NESSE RECEBIMENTO","OK")))))))</f>
        <v/>
      </c>
      <c r="L349" s="389">
        <f>IF(A349="","",ROW()-59)</f>
        <v/>
      </c>
    </row>
    <row r="350" hidden="1" outlineLevel="1" s="163">
      <c r="A350" s="380" t="n"/>
      <c r="B350" s="372">
        <f>IF(A350="","",IFERROR(INDEX($C$7:$C$56,MATCH(A350,$A$7:$A$56,0)),"Nº INVÁLIDO"))</f>
        <v/>
      </c>
      <c r="C350" s="372">
        <f>IF(A350="","",IFERROR(INDEX($D$7:$D$56,MATCH(A350,$A$7:$A$56,0)),"Nº INVÁLIDO"))</f>
        <v/>
      </c>
      <c r="D350" s="380" t="n"/>
      <c r="E350" s="381">
        <f>IF(D350="","",IFERROR(INDEX('Entrada de Dados'!$B$6:$B$196,MATCH(D350,'Entrada de Dados'!$A$6:$A$196,0)),"CÓDIGO INVÁLIDO"))</f>
        <v/>
      </c>
      <c r="F350" s="373" t="n"/>
      <c r="G350" s="375" t="n"/>
      <c r="H350" s="375" t="n"/>
      <c r="I350" s="376">
        <f>IF(G350="",0,MAX(G350-H350,0))</f>
        <v/>
      </c>
      <c r="J350" s="380" t="n"/>
      <c r="K350" s="162">
        <f>IF(AND(A350="",D350="",G350="",H350=""),"",IF(AND(OR(A350&lt;&gt;"",D350&lt;&gt;""),G350=""),"⏳ PENDENTE (falta qtd. apresentada)",IF(AND(G350&lt;&gt;"",OR(A350="",D350="")),"❌ FALTA Nº RECEBIMENTO/ESCOLA",IF(B350="Nº INVÁLIDO","❌ Nº DE RECEBIMENTO INVÁLIDO",IF(E350="CÓDIGO INVÁLIDO","❌ CÓDIGO DE ESCOLA INVÁLIDO",IF(H350&gt;G350,"❌ REJEITADO MAIOR QUE APRESENTADO",IF(AND(A350&lt;&gt;"",SUMIF($A$60:$A$559,A350,$G$60:$G$559)&gt;INDEX($G$7:$G$56,MATCH(A350,$A$7:$A$56,0))+0.01),"❌ DISTRIBUÍDO MAIS QUE O ACEITO NESSE RECEBIMENTO","OK")))))))</f>
        <v/>
      </c>
      <c r="L350" s="389">
        <f>IF(A350="","",ROW()-59)</f>
        <v/>
      </c>
    </row>
    <row r="351" hidden="1" outlineLevel="1" s="163">
      <c r="A351" s="380" t="n"/>
      <c r="B351" s="372">
        <f>IF(A351="","",IFERROR(INDEX($C$7:$C$56,MATCH(A351,$A$7:$A$56,0)),"Nº INVÁLIDO"))</f>
        <v/>
      </c>
      <c r="C351" s="372">
        <f>IF(A351="","",IFERROR(INDEX($D$7:$D$56,MATCH(A351,$A$7:$A$56,0)),"Nº INVÁLIDO"))</f>
        <v/>
      </c>
      <c r="D351" s="380" t="n"/>
      <c r="E351" s="381">
        <f>IF(D351="","",IFERROR(INDEX('Entrada de Dados'!$B$6:$B$196,MATCH(D351,'Entrada de Dados'!$A$6:$A$196,0)),"CÓDIGO INVÁLIDO"))</f>
        <v/>
      </c>
      <c r="F351" s="373" t="n"/>
      <c r="G351" s="375" t="n"/>
      <c r="H351" s="375" t="n"/>
      <c r="I351" s="376">
        <f>IF(G351="",0,MAX(G351-H351,0))</f>
        <v/>
      </c>
      <c r="J351" s="380" t="n"/>
      <c r="K351" s="162">
        <f>IF(AND(A351="",D351="",G351="",H351=""),"",IF(AND(OR(A351&lt;&gt;"",D351&lt;&gt;""),G351=""),"⏳ PENDENTE (falta qtd. apresentada)",IF(AND(G351&lt;&gt;"",OR(A351="",D351="")),"❌ FALTA Nº RECEBIMENTO/ESCOLA",IF(B351="Nº INVÁLIDO","❌ Nº DE RECEBIMENTO INVÁLIDO",IF(E351="CÓDIGO INVÁLIDO","❌ CÓDIGO DE ESCOLA INVÁLIDO",IF(H351&gt;G351,"❌ REJEITADO MAIOR QUE APRESENTADO",IF(AND(A351&lt;&gt;"",SUMIF($A$60:$A$559,A351,$G$60:$G$559)&gt;INDEX($G$7:$G$56,MATCH(A351,$A$7:$A$56,0))+0.01),"❌ DISTRIBUÍDO MAIS QUE O ACEITO NESSE RECEBIMENTO","OK")))))))</f>
        <v/>
      </c>
      <c r="L351" s="389">
        <f>IF(A351="","",ROW()-59)</f>
        <v/>
      </c>
    </row>
    <row r="352" hidden="1" outlineLevel="1" s="163">
      <c r="A352" s="380" t="n"/>
      <c r="B352" s="372">
        <f>IF(A352="","",IFERROR(INDEX($C$7:$C$56,MATCH(A352,$A$7:$A$56,0)),"Nº INVÁLIDO"))</f>
        <v/>
      </c>
      <c r="C352" s="372">
        <f>IF(A352="","",IFERROR(INDEX($D$7:$D$56,MATCH(A352,$A$7:$A$56,0)),"Nº INVÁLIDO"))</f>
        <v/>
      </c>
      <c r="D352" s="380" t="n"/>
      <c r="E352" s="381">
        <f>IF(D352="","",IFERROR(INDEX('Entrada de Dados'!$B$6:$B$196,MATCH(D352,'Entrada de Dados'!$A$6:$A$196,0)),"CÓDIGO INVÁLIDO"))</f>
        <v/>
      </c>
      <c r="F352" s="373" t="n"/>
      <c r="G352" s="375" t="n"/>
      <c r="H352" s="375" t="n"/>
      <c r="I352" s="376">
        <f>IF(G352="",0,MAX(G352-H352,0))</f>
        <v/>
      </c>
      <c r="J352" s="380" t="n"/>
      <c r="K352" s="162">
        <f>IF(AND(A352="",D352="",G352="",H352=""),"",IF(AND(OR(A352&lt;&gt;"",D352&lt;&gt;""),G352=""),"⏳ PENDENTE (falta qtd. apresentada)",IF(AND(G352&lt;&gt;"",OR(A352="",D352="")),"❌ FALTA Nº RECEBIMENTO/ESCOLA",IF(B352="Nº INVÁLIDO","❌ Nº DE RECEBIMENTO INVÁLIDO",IF(E352="CÓDIGO INVÁLIDO","❌ CÓDIGO DE ESCOLA INVÁLIDO",IF(H352&gt;G352,"❌ REJEITADO MAIOR QUE APRESENTADO",IF(AND(A352&lt;&gt;"",SUMIF($A$60:$A$559,A352,$G$60:$G$559)&gt;INDEX($G$7:$G$56,MATCH(A352,$A$7:$A$56,0))+0.01),"❌ DISTRIBUÍDO MAIS QUE O ACEITO NESSE RECEBIMENTO","OK")))))))</f>
        <v/>
      </c>
      <c r="L352" s="389">
        <f>IF(A352="","",ROW()-59)</f>
        <v/>
      </c>
    </row>
    <row r="353" hidden="1" outlineLevel="1" s="163">
      <c r="A353" s="380" t="n"/>
      <c r="B353" s="372">
        <f>IF(A353="","",IFERROR(INDEX($C$7:$C$56,MATCH(A353,$A$7:$A$56,0)),"Nº INVÁLIDO"))</f>
        <v/>
      </c>
      <c r="C353" s="372">
        <f>IF(A353="","",IFERROR(INDEX($D$7:$D$56,MATCH(A353,$A$7:$A$56,0)),"Nº INVÁLIDO"))</f>
        <v/>
      </c>
      <c r="D353" s="380" t="n"/>
      <c r="E353" s="381">
        <f>IF(D353="","",IFERROR(INDEX('Entrada de Dados'!$B$6:$B$196,MATCH(D353,'Entrada de Dados'!$A$6:$A$196,0)),"CÓDIGO INVÁLIDO"))</f>
        <v/>
      </c>
      <c r="F353" s="373" t="n"/>
      <c r="G353" s="375" t="n"/>
      <c r="H353" s="375" t="n"/>
      <c r="I353" s="376">
        <f>IF(G353="",0,MAX(G353-H353,0))</f>
        <v/>
      </c>
      <c r="J353" s="380" t="n"/>
      <c r="K353" s="162">
        <f>IF(AND(A353="",D353="",G353="",H353=""),"",IF(AND(OR(A353&lt;&gt;"",D353&lt;&gt;""),G353=""),"⏳ PENDENTE (falta qtd. apresentada)",IF(AND(G353&lt;&gt;"",OR(A353="",D353="")),"❌ FALTA Nº RECEBIMENTO/ESCOLA",IF(B353="Nº INVÁLIDO","❌ Nº DE RECEBIMENTO INVÁLIDO",IF(E353="CÓDIGO INVÁLIDO","❌ CÓDIGO DE ESCOLA INVÁLIDO",IF(H353&gt;G353,"❌ REJEITADO MAIOR QUE APRESENTADO",IF(AND(A353&lt;&gt;"",SUMIF($A$60:$A$559,A353,$G$60:$G$559)&gt;INDEX($G$7:$G$56,MATCH(A353,$A$7:$A$56,0))+0.01),"❌ DISTRIBUÍDO MAIS QUE O ACEITO NESSE RECEBIMENTO","OK")))))))</f>
        <v/>
      </c>
      <c r="L353" s="389">
        <f>IF(A353="","",ROW()-59)</f>
        <v/>
      </c>
    </row>
    <row r="354" hidden="1" outlineLevel="1" s="163">
      <c r="A354" s="380" t="n"/>
      <c r="B354" s="372">
        <f>IF(A354="","",IFERROR(INDEX($C$7:$C$56,MATCH(A354,$A$7:$A$56,0)),"Nº INVÁLIDO"))</f>
        <v/>
      </c>
      <c r="C354" s="372">
        <f>IF(A354="","",IFERROR(INDEX($D$7:$D$56,MATCH(A354,$A$7:$A$56,0)),"Nº INVÁLIDO"))</f>
        <v/>
      </c>
      <c r="D354" s="380" t="n"/>
      <c r="E354" s="381">
        <f>IF(D354="","",IFERROR(INDEX('Entrada de Dados'!$B$6:$B$196,MATCH(D354,'Entrada de Dados'!$A$6:$A$196,0)),"CÓDIGO INVÁLIDO"))</f>
        <v/>
      </c>
      <c r="F354" s="373" t="n"/>
      <c r="G354" s="375" t="n"/>
      <c r="H354" s="375" t="n"/>
      <c r="I354" s="376">
        <f>IF(G354="",0,MAX(G354-H354,0))</f>
        <v/>
      </c>
      <c r="J354" s="380" t="n"/>
      <c r="K354" s="162">
        <f>IF(AND(A354="",D354="",G354="",H354=""),"",IF(AND(OR(A354&lt;&gt;"",D354&lt;&gt;""),G354=""),"⏳ PENDENTE (falta qtd. apresentada)",IF(AND(G354&lt;&gt;"",OR(A354="",D354="")),"❌ FALTA Nº RECEBIMENTO/ESCOLA",IF(B354="Nº INVÁLIDO","❌ Nº DE RECEBIMENTO INVÁLIDO",IF(E354="CÓDIGO INVÁLIDO","❌ CÓDIGO DE ESCOLA INVÁLIDO",IF(H354&gt;G354,"❌ REJEITADO MAIOR QUE APRESENTADO",IF(AND(A354&lt;&gt;"",SUMIF($A$60:$A$559,A354,$G$60:$G$559)&gt;INDEX($G$7:$G$56,MATCH(A354,$A$7:$A$56,0))+0.01),"❌ DISTRIBUÍDO MAIS QUE O ACEITO NESSE RECEBIMENTO","OK")))))))</f>
        <v/>
      </c>
      <c r="L354" s="389">
        <f>IF(A354="","",ROW()-59)</f>
        <v/>
      </c>
    </row>
    <row r="355" hidden="1" outlineLevel="1" s="163">
      <c r="A355" s="380" t="n"/>
      <c r="B355" s="372">
        <f>IF(A355="","",IFERROR(INDEX($C$7:$C$56,MATCH(A355,$A$7:$A$56,0)),"Nº INVÁLIDO"))</f>
        <v/>
      </c>
      <c r="C355" s="372">
        <f>IF(A355="","",IFERROR(INDEX($D$7:$D$56,MATCH(A355,$A$7:$A$56,0)),"Nº INVÁLIDO"))</f>
        <v/>
      </c>
      <c r="D355" s="380" t="n"/>
      <c r="E355" s="381">
        <f>IF(D355="","",IFERROR(INDEX('Entrada de Dados'!$B$6:$B$196,MATCH(D355,'Entrada de Dados'!$A$6:$A$196,0)),"CÓDIGO INVÁLIDO"))</f>
        <v/>
      </c>
      <c r="F355" s="373" t="n"/>
      <c r="G355" s="375" t="n"/>
      <c r="H355" s="375" t="n"/>
      <c r="I355" s="376">
        <f>IF(G355="",0,MAX(G355-H355,0))</f>
        <v/>
      </c>
      <c r="J355" s="380" t="n"/>
      <c r="K355" s="162">
        <f>IF(AND(A355="",D355="",G355="",H355=""),"",IF(AND(OR(A355&lt;&gt;"",D355&lt;&gt;""),G355=""),"⏳ PENDENTE (falta qtd. apresentada)",IF(AND(G355&lt;&gt;"",OR(A355="",D355="")),"❌ FALTA Nº RECEBIMENTO/ESCOLA",IF(B355="Nº INVÁLIDO","❌ Nº DE RECEBIMENTO INVÁLIDO",IF(E355="CÓDIGO INVÁLIDO","❌ CÓDIGO DE ESCOLA INVÁLIDO",IF(H355&gt;G355,"❌ REJEITADO MAIOR QUE APRESENTADO",IF(AND(A355&lt;&gt;"",SUMIF($A$60:$A$559,A355,$G$60:$G$559)&gt;INDEX($G$7:$G$56,MATCH(A355,$A$7:$A$56,0))+0.01),"❌ DISTRIBUÍDO MAIS QUE O ACEITO NESSE RECEBIMENTO","OK")))))))</f>
        <v/>
      </c>
      <c r="L355" s="389">
        <f>IF(A355="","",ROW()-59)</f>
        <v/>
      </c>
    </row>
    <row r="356" hidden="1" outlineLevel="1" s="163">
      <c r="A356" s="380" t="n"/>
      <c r="B356" s="372">
        <f>IF(A356="","",IFERROR(INDEX($C$7:$C$56,MATCH(A356,$A$7:$A$56,0)),"Nº INVÁLIDO"))</f>
        <v/>
      </c>
      <c r="C356" s="372">
        <f>IF(A356="","",IFERROR(INDEX($D$7:$D$56,MATCH(A356,$A$7:$A$56,0)),"Nº INVÁLIDO"))</f>
        <v/>
      </c>
      <c r="D356" s="380" t="n"/>
      <c r="E356" s="381">
        <f>IF(D356="","",IFERROR(INDEX('Entrada de Dados'!$B$6:$B$196,MATCH(D356,'Entrada de Dados'!$A$6:$A$196,0)),"CÓDIGO INVÁLIDO"))</f>
        <v/>
      </c>
      <c r="F356" s="373" t="n"/>
      <c r="G356" s="375" t="n"/>
      <c r="H356" s="375" t="n"/>
      <c r="I356" s="376">
        <f>IF(G356="",0,MAX(G356-H356,0))</f>
        <v/>
      </c>
      <c r="J356" s="380" t="n"/>
      <c r="K356" s="162">
        <f>IF(AND(A356="",D356="",G356="",H356=""),"",IF(AND(OR(A356&lt;&gt;"",D356&lt;&gt;""),G356=""),"⏳ PENDENTE (falta qtd. apresentada)",IF(AND(G356&lt;&gt;"",OR(A356="",D356="")),"❌ FALTA Nº RECEBIMENTO/ESCOLA",IF(B356="Nº INVÁLIDO","❌ Nº DE RECEBIMENTO INVÁLIDO",IF(E356="CÓDIGO INVÁLIDO","❌ CÓDIGO DE ESCOLA INVÁLIDO",IF(H356&gt;G356,"❌ REJEITADO MAIOR QUE APRESENTADO",IF(AND(A356&lt;&gt;"",SUMIF($A$60:$A$559,A356,$G$60:$G$559)&gt;INDEX($G$7:$G$56,MATCH(A356,$A$7:$A$56,0))+0.01),"❌ DISTRIBUÍDO MAIS QUE O ACEITO NESSE RECEBIMENTO","OK")))))))</f>
        <v/>
      </c>
      <c r="L356" s="389">
        <f>IF(A356="","",ROW()-59)</f>
        <v/>
      </c>
    </row>
    <row r="357" hidden="1" outlineLevel="1" s="163">
      <c r="A357" s="380" t="n"/>
      <c r="B357" s="372">
        <f>IF(A357="","",IFERROR(INDEX($C$7:$C$56,MATCH(A357,$A$7:$A$56,0)),"Nº INVÁLIDO"))</f>
        <v/>
      </c>
      <c r="C357" s="372">
        <f>IF(A357="","",IFERROR(INDEX($D$7:$D$56,MATCH(A357,$A$7:$A$56,0)),"Nº INVÁLIDO"))</f>
        <v/>
      </c>
      <c r="D357" s="380" t="n"/>
      <c r="E357" s="381">
        <f>IF(D357="","",IFERROR(INDEX('Entrada de Dados'!$B$6:$B$196,MATCH(D357,'Entrada de Dados'!$A$6:$A$196,0)),"CÓDIGO INVÁLIDO"))</f>
        <v/>
      </c>
      <c r="F357" s="373" t="n"/>
      <c r="G357" s="375" t="n"/>
      <c r="H357" s="375" t="n"/>
      <c r="I357" s="376">
        <f>IF(G357="",0,MAX(G357-H357,0))</f>
        <v/>
      </c>
      <c r="J357" s="380" t="n"/>
      <c r="K357" s="162">
        <f>IF(AND(A357="",D357="",G357="",H357=""),"",IF(AND(OR(A357&lt;&gt;"",D357&lt;&gt;""),G357=""),"⏳ PENDENTE (falta qtd. apresentada)",IF(AND(G357&lt;&gt;"",OR(A357="",D357="")),"❌ FALTA Nº RECEBIMENTO/ESCOLA",IF(B357="Nº INVÁLIDO","❌ Nº DE RECEBIMENTO INVÁLIDO",IF(E357="CÓDIGO INVÁLIDO","❌ CÓDIGO DE ESCOLA INVÁLIDO",IF(H357&gt;G357,"❌ REJEITADO MAIOR QUE APRESENTADO",IF(AND(A357&lt;&gt;"",SUMIF($A$60:$A$559,A357,$G$60:$G$559)&gt;INDEX($G$7:$G$56,MATCH(A357,$A$7:$A$56,0))+0.01),"❌ DISTRIBUÍDO MAIS QUE O ACEITO NESSE RECEBIMENTO","OK")))))))</f>
        <v/>
      </c>
      <c r="L357" s="389">
        <f>IF(A357="","",ROW()-59)</f>
        <v/>
      </c>
    </row>
    <row r="358" hidden="1" outlineLevel="1" s="163">
      <c r="A358" s="380" t="n"/>
      <c r="B358" s="372">
        <f>IF(A358="","",IFERROR(INDEX($C$7:$C$56,MATCH(A358,$A$7:$A$56,0)),"Nº INVÁLIDO"))</f>
        <v/>
      </c>
      <c r="C358" s="372">
        <f>IF(A358="","",IFERROR(INDEX($D$7:$D$56,MATCH(A358,$A$7:$A$56,0)),"Nº INVÁLIDO"))</f>
        <v/>
      </c>
      <c r="D358" s="380" t="n"/>
      <c r="E358" s="381">
        <f>IF(D358="","",IFERROR(INDEX('Entrada de Dados'!$B$6:$B$196,MATCH(D358,'Entrada de Dados'!$A$6:$A$196,0)),"CÓDIGO INVÁLIDO"))</f>
        <v/>
      </c>
      <c r="F358" s="373" t="n"/>
      <c r="G358" s="375" t="n"/>
      <c r="H358" s="375" t="n"/>
      <c r="I358" s="376">
        <f>IF(G358="",0,MAX(G358-H358,0))</f>
        <v/>
      </c>
      <c r="J358" s="380" t="n"/>
      <c r="K358" s="162">
        <f>IF(AND(A358="",D358="",G358="",H358=""),"",IF(AND(OR(A358&lt;&gt;"",D358&lt;&gt;""),G358=""),"⏳ PENDENTE (falta qtd. apresentada)",IF(AND(G358&lt;&gt;"",OR(A358="",D358="")),"❌ FALTA Nº RECEBIMENTO/ESCOLA",IF(B358="Nº INVÁLIDO","❌ Nº DE RECEBIMENTO INVÁLIDO",IF(E358="CÓDIGO INVÁLIDO","❌ CÓDIGO DE ESCOLA INVÁLIDO",IF(H358&gt;G358,"❌ REJEITADO MAIOR QUE APRESENTADO",IF(AND(A358&lt;&gt;"",SUMIF($A$60:$A$559,A358,$G$60:$G$559)&gt;INDEX($G$7:$G$56,MATCH(A358,$A$7:$A$56,0))+0.01),"❌ DISTRIBUÍDO MAIS QUE O ACEITO NESSE RECEBIMENTO","OK")))))))</f>
        <v/>
      </c>
      <c r="L358" s="389">
        <f>IF(A358="","",ROW()-59)</f>
        <v/>
      </c>
    </row>
    <row r="359" hidden="1" outlineLevel="1" s="163">
      <c r="A359" s="380" t="n"/>
      <c r="B359" s="372">
        <f>IF(A359="","",IFERROR(INDEX($C$7:$C$56,MATCH(A359,$A$7:$A$56,0)),"Nº INVÁLIDO"))</f>
        <v/>
      </c>
      <c r="C359" s="372">
        <f>IF(A359="","",IFERROR(INDEX($D$7:$D$56,MATCH(A359,$A$7:$A$56,0)),"Nº INVÁLIDO"))</f>
        <v/>
      </c>
      <c r="D359" s="380" t="n"/>
      <c r="E359" s="381">
        <f>IF(D359="","",IFERROR(INDEX('Entrada de Dados'!$B$6:$B$196,MATCH(D359,'Entrada de Dados'!$A$6:$A$196,0)),"CÓDIGO INVÁLIDO"))</f>
        <v/>
      </c>
      <c r="F359" s="373" t="n"/>
      <c r="G359" s="375" t="n"/>
      <c r="H359" s="375" t="n"/>
      <c r="I359" s="376">
        <f>IF(G359="",0,MAX(G359-H359,0))</f>
        <v/>
      </c>
      <c r="J359" s="380" t="n"/>
      <c r="K359" s="162">
        <f>IF(AND(A359="",D359="",G359="",H359=""),"",IF(AND(OR(A359&lt;&gt;"",D359&lt;&gt;""),G359=""),"⏳ PENDENTE (falta qtd. apresentada)",IF(AND(G359&lt;&gt;"",OR(A359="",D359="")),"❌ FALTA Nº RECEBIMENTO/ESCOLA",IF(B359="Nº INVÁLIDO","❌ Nº DE RECEBIMENTO INVÁLIDO",IF(E359="CÓDIGO INVÁLIDO","❌ CÓDIGO DE ESCOLA INVÁLIDO",IF(H359&gt;G359,"❌ REJEITADO MAIOR QUE APRESENTADO",IF(AND(A359&lt;&gt;"",SUMIF($A$60:$A$559,A359,$G$60:$G$559)&gt;INDEX($G$7:$G$56,MATCH(A359,$A$7:$A$56,0))+0.01),"❌ DISTRIBUÍDO MAIS QUE O ACEITO NESSE RECEBIMENTO","OK")))))))</f>
        <v/>
      </c>
      <c r="L359" s="389">
        <f>IF(A359="","",ROW()-59)</f>
        <v/>
      </c>
    </row>
    <row r="360" hidden="1" outlineLevel="1" s="163">
      <c r="A360" s="380" t="n"/>
      <c r="B360" s="372">
        <f>IF(A360="","",IFERROR(INDEX($C$7:$C$56,MATCH(A360,$A$7:$A$56,0)),"Nº INVÁLIDO"))</f>
        <v/>
      </c>
      <c r="C360" s="372">
        <f>IF(A360="","",IFERROR(INDEX($D$7:$D$56,MATCH(A360,$A$7:$A$56,0)),"Nº INVÁLIDO"))</f>
        <v/>
      </c>
      <c r="D360" s="380" t="n"/>
      <c r="E360" s="381">
        <f>IF(D360="","",IFERROR(INDEX('Entrada de Dados'!$B$6:$B$196,MATCH(D360,'Entrada de Dados'!$A$6:$A$196,0)),"CÓDIGO INVÁLIDO"))</f>
        <v/>
      </c>
      <c r="F360" s="373" t="n"/>
      <c r="G360" s="375" t="n"/>
      <c r="H360" s="375" t="n"/>
      <c r="I360" s="376">
        <f>IF(G360="",0,MAX(G360-H360,0))</f>
        <v/>
      </c>
      <c r="J360" s="380" t="n"/>
      <c r="K360" s="162">
        <f>IF(AND(A360="",D360="",G360="",H360=""),"",IF(AND(OR(A360&lt;&gt;"",D360&lt;&gt;""),G360=""),"⏳ PENDENTE (falta qtd. apresentada)",IF(AND(G360&lt;&gt;"",OR(A360="",D360="")),"❌ FALTA Nº RECEBIMENTO/ESCOLA",IF(B360="Nº INVÁLIDO","❌ Nº DE RECEBIMENTO INVÁLIDO",IF(E360="CÓDIGO INVÁLIDO","❌ CÓDIGO DE ESCOLA INVÁLIDO",IF(H360&gt;G360,"❌ REJEITADO MAIOR QUE APRESENTADO",IF(AND(A360&lt;&gt;"",SUMIF($A$60:$A$559,A360,$G$60:$G$559)&gt;INDEX($G$7:$G$56,MATCH(A360,$A$7:$A$56,0))+0.01),"❌ DISTRIBUÍDO MAIS QUE O ACEITO NESSE RECEBIMENTO","OK")))))))</f>
        <v/>
      </c>
      <c r="L360" s="389">
        <f>IF(A360="","",ROW()-59)</f>
        <v/>
      </c>
    </row>
    <row r="361" hidden="1" outlineLevel="1" s="163">
      <c r="A361" s="380" t="n"/>
      <c r="B361" s="372">
        <f>IF(A361="","",IFERROR(INDEX($C$7:$C$56,MATCH(A361,$A$7:$A$56,0)),"Nº INVÁLIDO"))</f>
        <v/>
      </c>
      <c r="C361" s="372">
        <f>IF(A361="","",IFERROR(INDEX($D$7:$D$56,MATCH(A361,$A$7:$A$56,0)),"Nº INVÁLIDO"))</f>
        <v/>
      </c>
      <c r="D361" s="380" t="n"/>
      <c r="E361" s="381">
        <f>IF(D361="","",IFERROR(INDEX('Entrada de Dados'!$B$6:$B$196,MATCH(D361,'Entrada de Dados'!$A$6:$A$196,0)),"CÓDIGO INVÁLIDO"))</f>
        <v/>
      </c>
      <c r="F361" s="373" t="n"/>
      <c r="G361" s="375" t="n"/>
      <c r="H361" s="375" t="n"/>
      <c r="I361" s="376">
        <f>IF(G361="",0,MAX(G361-H361,0))</f>
        <v/>
      </c>
      <c r="J361" s="380" t="n"/>
      <c r="K361" s="162">
        <f>IF(AND(A361="",D361="",G361="",H361=""),"",IF(AND(OR(A361&lt;&gt;"",D361&lt;&gt;""),G361=""),"⏳ PENDENTE (falta qtd. apresentada)",IF(AND(G361&lt;&gt;"",OR(A361="",D361="")),"❌ FALTA Nº RECEBIMENTO/ESCOLA",IF(B361="Nº INVÁLIDO","❌ Nº DE RECEBIMENTO INVÁLIDO",IF(E361="CÓDIGO INVÁLIDO","❌ CÓDIGO DE ESCOLA INVÁLIDO",IF(H361&gt;G361,"❌ REJEITADO MAIOR QUE APRESENTADO",IF(AND(A361&lt;&gt;"",SUMIF($A$60:$A$559,A361,$G$60:$G$559)&gt;INDEX($G$7:$G$56,MATCH(A361,$A$7:$A$56,0))+0.01),"❌ DISTRIBUÍDO MAIS QUE O ACEITO NESSE RECEBIMENTO","OK")))))))</f>
        <v/>
      </c>
      <c r="L361" s="389">
        <f>IF(A361="","",ROW()-59)</f>
        <v/>
      </c>
    </row>
    <row r="362" hidden="1" outlineLevel="1" s="163">
      <c r="A362" s="380" t="n"/>
      <c r="B362" s="372">
        <f>IF(A362="","",IFERROR(INDEX($C$7:$C$56,MATCH(A362,$A$7:$A$56,0)),"Nº INVÁLIDO"))</f>
        <v/>
      </c>
      <c r="C362" s="372">
        <f>IF(A362="","",IFERROR(INDEX($D$7:$D$56,MATCH(A362,$A$7:$A$56,0)),"Nº INVÁLIDO"))</f>
        <v/>
      </c>
      <c r="D362" s="380" t="n"/>
      <c r="E362" s="381">
        <f>IF(D362="","",IFERROR(INDEX('Entrada de Dados'!$B$6:$B$196,MATCH(D362,'Entrada de Dados'!$A$6:$A$196,0)),"CÓDIGO INVÁLIDO"))</f>
        <v/>
      </c>
      <c r="F362" s="373" t="n"/>
      <c r="G362" s="375" t="n"/>
      <c r="H362" s="375" t="n"/>
      <c r="I362" s="376">
        <f>IF(G362="",0,MAX(G362-H362,0))</f>
        <v/>
      </c>
      <c r="J362" s="380" t="n"/>
      <c r="K362" s="162">
        <f>IF(AND(A362="",D362="",G362="",H362=""),"",IF(AND(OR(A362&lt;&gt;"",D362&lt;&gt;""),G362=""),"⏳ PENDENTE (falta qtd. apresentada)",IF(AND(G362&lt;&gt;"",OR(A362="",D362="")),"❌ FALTA Nº RECEBIMENTO/ESCOLA",IF(B362="Nº INVÁLIDO","❌ Nº DE RECEBIMENTO INVÁLIDO",IF(E362="CÓDIGO INVÁLIDO","❌ CÓDIGO DE ESCOLA INVÁLIDO",IF(H362&gt;G362,"❌ REJEITADO MAIOR QUE APRESENTADO",IF(AND(A362&lt;&gt;"",SUMIF($A$60:$A$559,A362,$G$60:$G$559)&gt;INDEX($G$7:$G$56,MATCH(A362,$A$7:$A$56,0))+0.01),"❌ DISTRIBUÍDO MAIS QUE O ACEITO NESSE RECEBIMENTO","OK")))))))</f>
        <v/>
      </c>
      <c r="L362" s="389">
        <f>IF(A362="","",ROW()-59)</f>
        <v/>
      </c>
    </row>
    <row r="363" hidden="1" outlineLevel="1" s="163">
      <c r="A363" s="380" t="n"/>
      <c r="B363" s="372">
        <f>IF(A363="","",IFERROR(INDEX($C$7:$C$56,MATCH(A363,$A$7:$A$56,0)),"Nº INVÁLIDO"))</f>
        <v/>
      </c>
      <c r="C363" s="372">
        <f>IF(A363="","",IFERROR(INDEX($D$7:$D$56,MATCH(A363,$A$7:$A$56,0)),"Nº INVÁLIDO"))</f>
        <v/>
      </c>
      <c r="D363" s="380" t="n"/>
      <c r="E363" s="381">
        <f>IF(D363="","",IFERROR(INDEX('Entrada de Dados'!$B$6:$B$196,MATCH(D363,'Entrada de Dados'!$A$6:$A$196,0)),"CÓDIGO INVÁLIDO"))</f>
        <v/>
      </c>
      <c r="F363" s="373" t="n"/>
      <c r="G363" s="375" t="n"/>
      <c r="H363" s="375" t="n"/>
      <c r="I363" s="376">
        <f>IF(G363="",0,MAX(G363-H363,0))</f>
        <v/>
      </c>
      <c r="J363" s="380" t="n"/>
      <c r="K363" s="162">
        <f>IF(AND(A363="",D363="",G363="",H363=""),"",IF(AND(OR(A363&lt;&gt;"",D363&lt;&gt;""),G363=""),"⏳ PENDENTE (falta qtd. apresentada)",IF(AND(G363&lt;&gt;"",OR(A363="",D363="")),"❌ FALTA Nº RECEBIMENTO/ESCOLA",IF(B363="Nº INVÁLIDO","❌ Nº DE RECEBIMENTO INVÁLIDO",IF(E363="CÓDIGO INVÁLIDO","❌ CÓDIGO DE ESCOLA INVÁLIDO",IF(H363&gt;G363,"❌ REJEITADO MAIOR QUE APRESENTADO",IF(AND(A363&lt;&gt;"",SUMIF($A$60:$A$559,A363,$G$60:$G$559)&gt;INDEX($G$7:$G$56,MATCH(A363,$A$7:$A$56,0))+0.01),"❌ DISTRIBUÍDO MAIS QUE O ACEITO NESSE RECEBIMENTO","OK")))))))</f>
        <v/>
      </c>
      <c r="L363" s="389">
        <f>IF(A363="","",ROW()-59)</f>
        <v/>
      </c>
    </row>
    <row r="364" hidden="1" outlineLevel="1" s="163">
      <c r="A364" s="380" t="n"/>
      <c r="B364" s="372">
        <f>IF(A364="","",IFERROR(INDEX($C$7:$C$56,MATCH(A364,$A$7:$A$56,0)),"Nº INVÁLIDO"))</f>
        <v/>
      </c>
      <c r="C364" s="372">
        <f>IF(A364="","",IFERROR(INDEX($D$7:$D$56,MATCH(A364,$A$7:$A$56,0)),"Nº INVÁLIDO"))</f>
        <v/>
      </c>
      <c r="D364" s="380" t="n"/>
      <c r="E364" s="381">
        <f>IF(D364="","",IFERROR(INDEX('Entrada de Dados'!$B$6:$B$196,MATCH(D364,'Entrada de Dados'!$A$6:$A$196,0)),"CÓDIGO INVÁLIDO"))</f>
        <v/>
      </c>
      <c r="F364" s="373" t="n"/>
      <c r="G364" s="375" t="n"/>
      <c r="H364" s="375" t="n"/>
      <c r="I364" s="376">
        <f>IF(G364="",0,MAX(G364-H364,0))</f>
        <v/>
      </c>
      <c r="J364" s="380" t="n"/>
      <c r="K364" s="162">
        <f>IF(AND(A364="",D364="",G364="",H364=""),"",IF(AND(OR(A364&lt;&gt;"",D364&lt;&gt;""),G364=""),"⏳ PENDENTE (falta qtd. apresentada)",IF(AND(G364&lt;&gt;"",OR(A364="",D364="")),"❌ FALTA Nº RECEBIMENTO/ESCOLA",IF(B364="Nº INVÁLIDO","❌ Nº DE RECEBIMENTO INVÁLIDO",IF(E364="CÓDIGO INVÁLIDO","❌ CÓDIGO DE ESCOLA INVÁLIDO",IF(H364&gt;G364,"❌ REJEITADO MAIOR QUE APRESENTADO",IF(AND(A364&lt;&gt;"",SUMIF($A$60:$A$559,A364,$G$60:$G$559)&gt;INDEX($G$7:$G$56,MATCH(A364,$A$7:$A$56,0))+0.01),"❌ DISTRIBUÍDO MAIS QUE O ACEITO NESSE RECEBIMENTO","OK")))))))</f>
        <v/>
      </c>
      <c r="L364" s="389">
        <f>IF(A364="","",ROW()-59)</f>
        <v/>
      </c>
    </row>
    <row r="365" hidden="1" outlineLevel="1" s="163">
      <c r="A365" s="380" t="n"/>
      <c r="B365" s="372">
        <f>IF(A365="","",IFERROR(INDEX($C$7:$C$56,MATCH(A365,$A$7:$A$56,0)),"Nº INVÁLIDO"))</f>
        <v/>
      </c>
      <c r="C365" s="372">
        <f>IF(A365="","",IFERROR(INDEX($D$7:$D$56,MATCH(A365,$A$7:$A$56,0)),"Nº INVÁLIDO"))</f>
        <v/>
      </c>
      <c r="D365" s="380" t="n"/>
      <c r="E365" s="381">
        <f>IF(D365="","",IFERROR(INDEX('Entrada de Dados'!$B$6:$B$196,MATCH(D365,'Entrada de Dados'!$A$6:$A$196,0)),"CÓDIGO INVÁLIDO"))</f>
        <v/>
      </c>
      <c r="F365" s="373" t="n"/>
      <c r="G365" s="375" t="n"/>
      <c r="H365" s="375" t="n"/>
      <c r="I365" s="376">
        <f>IF(G365="",0,MAX(G365-H365,0))</f>
        <v/>
      </c>
      <c r="J365" s="380" t="n"/>
      <c r="K365" s="162">
        <f>IF(AND(A365="",D365="",G365="",H365=""),"",IF(AND(OR(A365&lt;&gt;"",D365&lt;&gt;""),G365=""),"⏳ PENDENTE (falta qtd. apresentada)",IF(AND(G365&lt;&gt;"",OR(A365="",D365="")),"❌ FALTA Nº RECEBIMENTO/ESCOLA",IF(B365="Nº INVÁLIDO","❌ Nº DE RECEBIMENTO INVÁLIDO",IF(E365="CÓDIGO INVÁLIDO","❌ CÓDIGO DE ESCOLA INVÁLIDO",IF(H365&gt;G365,"❌ REJEITADO MAIOR QUE APRESENTADO",IF(AND(A365&lt;&gt;"",SUMIF($A$60:$A$559,A365,$G$60:$G$559)&gt;INDEX($G$7:$G$56,MATCH(A365,$A$7:$A$56,0))+0.01),"❌ DISTRIBUÍDO MAIS QUE O ACEITO NESSE RECEBIMENTO","OK")))))))</f>
        <v/>
      </c>
      <c r="L365" s="389">
        <f>IF(A365="","",ROW()-59)</f>
        <v/>
      </c>
    </row>
    <row r="366" hidden="1" outlineLevel="1" s="163">
      <c r="A366" s="380" t="n"/>
      <c r="B366" s="372">
        <f>IF(A366="","",IFERROR(INDEX($C$7:$C$56,MATCH(A366,$A$7:$A$56,0)),"Nº INVÁLIDO"))</f>
        <v/>
      </c>
      <c r="C366" s="372">
        <f>IF(A366="","",IFERROR(INDEX($D$7:$D$56,MATCH(A366,$A$7:$A$56,0)),"Nº INVÁLIDO"))</f>
        <v/>
      </c>
      <c r="D366" s="380" t="n"/>
      <c r="E366" s="381">
        <f>IF(D366="","",IFERROR(INDEX('Entrada de Dados'!$B$6:$B$196,MATCH(D366,'Entrada de Dados'!$A$6:$A$196,0)),"CÓDIGO INVÁLIDO"))</f>
        <v/>
      </c>
      <c r="F366" s="373" t="n"/>
      <c r="G366" s="375" t="n"/>
      <c r="H366" s="375" t="n"/>
      <c r="I366" s="376">
        <f>IF(G366="",0,MAX(G366-H366,0))</f>
        <v/>
      </c>
      <c r="J366" s="380" t="n"/>
      <c r="K366" s="162">
        <f>IF(AND(A366="",D366="",G366="",H366=""),"",IF(AND(OR(A366&lt;&gt;"",D366&lt;&gt;""),G366=""),"⏳ PENDENTE (falta qtd. apresentada)",IF(AND(G366&lt;&gt;"",OR(A366="",D366="")),"❌ FALTA Nº RECEBIMENTO/ESCOLA",IF(B366="Nº INVÁLIDO","❌ Nº DE RECEBIMENTO INVÁLIDO",IF(E366="CÓDIGO INVÁLIDO","❌ CÓDIGO DE ESCOLA INVÁLIDO",IF(H366&gt;G366,"❌ REJEITADO MAIOR QUE APRESENTADO",IF(AND(A366&lt;&gt;"",SUMIF($A$60:$A$559,A366,$G$60:$G$559)&gt;INDEX($G$7:$G$56,MATCH(A366,$A$7:$A$56,0))+0.01),"❌ DISTRIBUÍDO MAIS QUE O ACEITO NESSE RECEBIMENTO","OK")))))))</f>
        <v/>
      </c>
      <c r="L366" s="389">
        <f>IF(A366="","",ROW()-59)</f>
        <v/>
      </c>
    </row>
    <row r="367" hidden="1" outlineLevel="1" s="163">
      <c r="A367" s="380" t="n"/>
      <c r="B367" s="372">
        <f>IF(A367="","",IFERROR(INDEX($C$7:$C$56,MATCH(A367,$A$7:$A$56,0)),"Nº INVÁLIDO"))</f>
        <v/>
      </c>
      <c r="C367" s="372">
        <f>IF(A367="","",IFERROR(INDEX($D$7:$D$56,MATCH(A367,$A$7:$A$56,0)),"Nº INVÁLIDO"))</f>
        <v/>
      </c>
      <c r="D367" s="380" t="n"/>
      <c r="E367" s="381">
        <f>IF(D367="","",IFERROR(INDEX('Entrada de Dados'!$B$6:$B$196,MATCH(D367,'Entrada de Dados'!$A$6:$A$196,0)),"CÓDIGO INVÁLIDO"))</f>
        <v/>
      </c>
      <c r="F367" s="373" t="n"/>
      <c r="G367" s="375" t="n"/>
      <c r="H367" s="375" t="n"/>
      <c r="I367" s="376">
        <f>IF(G367="",0,MAX(G367-H367,0))</f>
        <v/>
      </c>
      <c r="J367" s="380" t="n"/>
      <c r="K367" s="162">
        <f>IF(AND(A367="",D367="",G367="",H367=""),"",IF(AND(OR(A367&lt;&gt;"",D367&lt;&gt;""),G367=""),"⏳ PENDENTE (falta qtd. apresentada)",IF(AND(G367&lt;&gt;"",OR(A367="",D367="")),"❌ FALTA Nº RECEBIMENTO/ESCOLA",IF(B367="Nº INVÁLIDO","❌ Nº DE RECEBIMENTO INVÁLIDO",IF(E367="CÓDIGO INVÁLIDO","❌ CÓDIGO DE ESCOLA INVÁLIDO",IF(H367&gt;G367,"❌ REJEITADO MAIOR QUE APRESENTADO",IF(AND(A367&lt;&gt;"",SUMIF($A$60:$A$559,A367,$G$60:$G$559)&gt;INDEX($G$7:$G$56,MATCH(A367,$A$7:$A$56,0))+0.01),"❌ DISTRIBUÍDO MAIS QUE O ACEITO NESSE RECEBIMENTO","OK")))))))</f>
        <v/>
      </c>
      <c r="L367" s="389">
        <f>IF(A367="","",ROW()-59)</f>
        <v/>
      </c>
    </row>
    <row r="368" hidden="1" outlineLevel="1" s="163">
      <c r="A368" s="380" t="n"/>
      <c r="B368" s="372">
        <f>IF(A368="","",IFERROR(INDEX($C$7:$C$56,MATCH(A368,$A$7:$A$56,0)),"Nº INVÁLIDO"))</f>
        <v/>
      </c>
      <c r="C368" s="372">
        <f>IF(A368="","",IFERROR(INDEX($D$7:$D$56,MATCH(A368,$A$7:$A$56,0)),"Nº INVÁLIDO"))</f>
        <v/>
      </c>
      <c r="D368" s="380" t="n"/>
      <c r="E368" s="381">
        <f>IF(D368="","",IFERROR(INDEX('Entrada de Dados'!$B$6:$B$196,MATCH(D368,'Entrada de Dados'!$A$6:$A$196,0)),"CÓDIGO INVÁLIDO"))</f>
        <v/>
      </c>
      <c r="F368" s="373" t="n"/>
      <c r="G368" s="375" t="n"/>
      <c r="H368" s="375" t="n"/>
      <c r="I368" s="376">
        <f>IF(G368="",0,MAX(G368-H368,0))</f>
        <v/>
      </c>
      <c r="J368" s="380" t="n"/>
      <c r="K368" s="162">
        <f>IF(AND(A368="",D368="",G368="",H368=""),"",IF(AND(OR(A368&lt;&gt;"",D368&lt;&gt;""),G368=""),"⏳ PENDENTE (falta qtd. apresentada)",IF(AND(G368&lt;&gt;"",OR(A368="",D368="")),"❌ FALTA Nº RECEBIMENTO/ESCOLA",IF(B368="Nº INVÁLIDO","❌ Nº DE RECEBIMENTO INVÁLIDO",IF(E368="CÓDIGO INVÁLIDO","❌ CÓDIGO DE ESCOLA INVÁLIDO",IF(H368&gt;G368,"❌ REJEITADO MAIOR QUE APRESENTADO",IF(AND(A368&lt;&gt;"",SUMIF($A$60:$A$559,A368,$G$60:$G$559)&gt;INDEX($G$7:$G$56,MATCH(A368,$A$7:$A$56,0))+0.01),"❌ DISTRIBUÍDO MAIS QUE O ACEITO NESSE RECEBIMENTO","OK")))))))</f>
        <v/>
      </c>
      <c r="L368" s="389">
        <f>IF(A368="","",ROW()-59)</f>
        <v/>
      </c>
    </row>
    <row r="369" hidden="1" outlineLevel="1" s="163">
      <c r="A369" s="380" t="n"/>
      <c r="B369" s="372">
        <f>IF(A369="","",IFERROR(INDEX($C$7:$C$56,MATCH(A369,$A$7:$A$56,0)),"Nº INVÁLIDO"))</f>
        <v/>
      </c>
      <c r="C369" s="372">
        <f>IF(A369="","",IFERROR(INDEX($D$7:$D$56,MATCH(A369,$A$7:$A$56,0)),"Nº INVÁLIDO"))</f>
        <v/>
      </c>
      <c r="D369" s="380" t="n"/>
      <c r="E369" s="381">
        <f>IF(D369="","",IFERROR(INDEX('Entrada de Dados'!$B$6:$B$196,MATCH(D369,'Entrada de Dados'!$A$6:$A$196,0)),"CÓDIGO INVÁLIDO"))</f>
        <v/>
      </c>
      <c r="F369" s="373" t="n"/>
      <c r="G369" s="375" t="n"/>
      <c r="H369" s="375" t="n"/>
      <c r="I369" s="376">
        <f>IF(G369="",0,MAX(G369-H369,0))</f>
        <v/>
      </c>
      <c r="J369" s="380" t="n"/>
      <c r="K369" s="162">
        <f>IF(AND(A369="",D369="",G369="",H369=""),"",IF(AND(OR(A369&lt;&gt;"",D369&lt;&gt;""),G369=""),"⏳ PENDENTE (falta qtd. apresentada)",IF(AND(G369&lt;&gt;"",OR(A369="",D369="")),"❌ FALTA Nº RECEBIMENTO/ESCOLA",IF(B369="Nº INVÁLIDO","❌ Nº DE RECEBIMENTO INVÁLIDO",IF(E369="CÓDIGO INVÁLIDO","❌ CÓDIGO DE ESCOLA INVÁLIDO",IF(H369&gt;G369,"❌ REJEITADO MAIOR QUE APRESENTADO",IF(AND(A369&lt;&gt;"",SUMIF($A$60:$A$559,A369,$G$60:$G$559)&gt;INDEX($G$7:$G$56,MATCH(A369,$A$7:$A$56,0))+0.01),"❌ DISTRIBUÍDO MAIS QUE O ACEITO NESSE RECEBIMENTO","OK")))))))</f>
        <v/>
      </c>
      <c r="L369" s="389">
        <f>IF(A369="","",ROW()-59)</f>
        <v/>
      </c>
    </row>
    <row r="370" hidden="1" outlineLevel="1" s="163">
      <c r="A370" s="380" t="n"/>
      <c r="B370" s="372">
        <f>IF(A370="","",IFERROR(INDEX($C$7:$C$56,MATCH(A370,$A$7:$A$56,0)),"Nº INVÁLIDO"))</f>
        <v/>
      </c>
      <c r="C370" s="372">
        <f>IF(A370="","",IFERROR(INDEX($D$7:$D$56,MATCH(A370,$A$7:$A$56,0)),"Nº INVÁLIDO"))</f>
        <v/>
      </c>
      <c r="D370" s="380" t="n"/>
      <c r="E370" s="381">
        <f>IF(D370="","",IFERROR(INDEX('Entrada de Dados'!$B$6:$B$196,MATCH(D370,'Entrada de Dados'!$A$6:$A$196,0)),"CÓDIGO INVÁLIDO"))</f>
        <v/>
      </c>
      <c r="F370" s="373" t="n"/>
      <c r="G370" s="375" t="n"/>
      <c r="H370" s="375" t="n"/>
      <c r="I370" s="376">
        <f>IF(G370="",0,MAX(G370-H370,0))</f>
        <v/>
      </c>
      <c r="J370" s="380" t="n"/>
      <c r="K370" s="162">
        <f>IF(AND(A370="",D370="",G370="",H370=""),"",IF(AND(OR(A370&lt;&gt;"",D370&lt;&gt;""),G370=""),"⏳ PENDENTE (falta qtd. apresentada)",IF(AND(G370&lt;&gt;"",OR(A370="",D370="")),"❌ FALTA Nº RECEBIMENTO/ESCOLA",IF(B370="Nº INVÁLIDO","❌ Nº DE RECEBIMENTO INVÁLIDO",IF(E370="CÓDIGO INVÁLIDO","❌ CÓDIGO DE ESCOLA INVÁLIDO",IF(H370&gt;G370,"❌ REJEITADO MAIOR QUE APRESENTADO",IF(AND(A370&lt;&gt;"",SUMIF($A$60:$A$559,A370,$G$60:$G$559)&gt;INDEX($G$7:$G$56,MATCH(A370,$A$7:$A$56,0))+0.01),"❌ DISTRIBUÍDO MAIS QUE O ACEITO NESSE RECEBIMENTO","OK")))))))</f>
        <v/>
      </c>
      <c r="L370" s="389">
        <f>IF(A370="","",ROW()-59)</f>
        <v/>
      </c>
    </row>
    <row r="371" hidden="1" outlineLevel="1" s="163">
      <c r="A371" s="380" t="n"/>
      <c r="B371" s="372">
        <f>IF(A371="","",IFERROR(INDEX($C$7:$C$56,MATCH(A371,$A$7:$A$56,0)),"Nº INVÁLIDO"))</f>
        <v/>
      </c>
      <c r="C371" s="372">
        <f>IF(A371="","",IFERROR(INDEX($D$7:$D$56,MATCH(A371,$A$7:$A$56,0)),"Nº INVÁLIDO"))</f>
        <v/>
      </c>
      <c r="D371" s="380" t="n"/>
      <c r="E371" s="381">
        <f>IF(D371="","",IFERROR(INDEX('Entrada de Dados'!$B$6:$B$196,MATCH(D371,'Entrada de Dados'!$A$6:$A$196,0)),"CÓDIGO INVÁLIDO"))</f>
        <v/>
      </c>
      <c r="F371" s="373" t="n"/>
      <c r="G371" s="375" t="n"/>
      <c r="H371" s="375" t="n"/>
      <c r="I371" s="376">
        <f>IF(G371="",0,MAX(G371-H371,0))</f>
        <v/>
      </c>
      <c r="J371" s="380" t="n"/>
      <c r="K371" s="162">
        <f>IF(AND(A371="",D371="",G371="",H371=""),"",IF(AND(OR(A371&lt;&gt;"",D371&lt;&gt;""),G371=""),"⏳ PENDENTE (falta qtd. apresentada)",IF(AND(G371&lt;&gt;"",OR(A371="",D371="")),"❌ FALTA Nº RECEBIMENTO/ESCOLA",IF(B371="Nº INVÁLIDO","❌ Nº DE RECEBIMENTO INVÁLIDO",IF(E371="CÓDIGO INVÁLIDO","❌ CÓDIGO DE ESCOLA INVÁLIDO",IF(H371&gt;G371,"❌ REJEITADO MAIOR QUE APRESENTADO",IF(AND(A371&lt;&gt;"",SUMIF($A$60:$A$559,A371,$G$60:$G$559)&gt;INDEX($G$7:$G$56,MATCH(A371,$A$7:$A$56,0))+0.01),"❌ DISTRIBUÍDO MAIS QUE O ACEITO NESSE RECEBIMENTO","OK")))))))</f>
        <v/>
      </c>
      <c r="L371" s="389">
        <f>IF(A371="","",ROW()-59)</f>
        <v/>
      </c>
    </row>
    <row r="372" hidden="1" outlineLevel="1" s="163">
      <c r="A372" s="380" t="n"/>
      <c r="B372" s="372">
        <f>IF(A372="","",IFERROR(INDEX($C$7:$C$56,MATCH(A372,$A$7:$A$56,0)),"Nº INVÁLIDO"))</f>
        <v/>
      </c>
      <c r="C372" s="372">
        <f>IF(A372="","",IFERROR(INDEX($D$7:$D$56,MATCH(A372,$A$7:$A$56,0)),"Nº INVÁLIDO"))</f>
        <v/>
      </c>
      <c r="D372" s="380" t="n"/>
      <c r="E372" s="381">
        <f>IF(D372="","",IFERROR(INDEX('Entrada de Dados'!$B$6:$B$196,MATCH(D372,'Entrada de Dados'!$A$6:$A$196,0)),"CÓDIGO INVÁLIDO"))</f>
        <v/>
      </c>
      <c r="F372" s="373" t="n"/>
      <c r="G372" s="375" t="n"/>
      <c r="H372" s="375" t="n"/>
      <c r="I372" s="376">
        <f>IF(G372="",0,MAX(G372-H372,0))</f>
        <v/>
      </c>
      <c r="J372" s="380" t="n"/>
      <c r="K372" s="162">
        <f>IF(AND(A372="",D372="",G372="",H372=""),"",IF(AND(OR(A372&lt;&gt;"",D372&lt;&gt;""),G372=""),"⏳ PENDENTE (falta qtd. apresentada)",IF(AND(G372&lt;&gt;"",OR(A372="",D372="")),"❌ FALTA Nº RECEBIMENTO/ESCOLA",IF(B372="Nº INVÁLIDO","❌ Nº DE RECEBIMENTO INVÁLIDO",IF(E372="CÓDIGO INVÁLIDO","❌ CÓDIGO DE ESCOLA INVÁLIDO",IF(H372&gt;G372,"❌ REJEITADO MAIOR QUE APRESENTADO",IF(AND(A372&lt;&gt;"",SUMIF($A$60:$A$559,A372,$G$60:$G$559)&gt;INDEX($G$7:$G$56,MATCH(A372,$A$7:$A$56,0))+0.01),"❌ DISTRIBUÍDO MAIS QUE O ACEITO NESSE RECEBIMENTO","OK")))))))</f>
        <v/>
      </c>
      <c r="L372" s="389">
        <f>IF(A372="","",ROW()-59)</f>
        <v/>
      </c>
    </row>
    <row r="373" hidden="1" outlineLevel="1" s="163">
      <c r="A373" s="380" t="n"/>
      <c r="B373" s="372">
        <f>IF(A373="","",IFERROR(INDEX($C$7:$C$56,MATCH(A373,$A$7:$A$56,0)),"Nº INVÁLIDO"))</f>
        <v/>
      </c>
      <c r="C373" s="372">
        <f>IF(A373="","",IFERROR(INDEX($D$7:$D$56,MATCH(A373,$A$7:$A$56,0)),"Nº INVÁLIDO"))</f>
        <v/>
      </c>
      <c r="D373" s="380" t="n"/>
      <c r="E373" s="381">
        <f>IF(D373="","",IFERROR(INDEX('Entrada de Dados'!$B$6:$B$196,MATCH(D373,'Entrada de Dados'!$A$6:$A$196,0)),"CÓDIGO INVÁLIDO"))</f>
        <v/>
      </c>
      <c r="F373" s="373" t="n"/>
      <c r="G373" s="375" t="n"/>
      <c r="H373" s="375" t="n"/>
      <c r="I373" s="376">
        <f>IF(G373="",0,MAX(G373-H373,0))</f>
        <v/>
      </c>
      <c r="J373" s="380" t="n"/>
      <c r="K373" s="162">
        <f>IF(AND(A373="",D373="",G373="",H373=""),"",IF(AND(OR(A373&lt;&gt;"",D373&lt;&gt;""),G373=""),"⏳ PENDENTE (falta qtd. apresentada)",IF(AND(G373&lt;&gt;"",OR(A373="",D373="")),"❌ FALTA Nº RECEBIMENTO/ESCOLA",IF(B373="Nº INVÁLIDO","❌ Nº DE RECEBIMENTO INVÁLIDO",IF(E373="CÓDIGO INVÁLIDO","❌ CÓDIGO DE ESCOLA INVÁLIDO",IF(H373&gt;G373,"❌ REJEITADO MAIOR QUE APRESENTADO",IF(AND(A373&lt;&gt;"",SUMIF($A$60:$A$559,A373,$G$60:$G$559)&gt;INDEX($G$7:$G$56,MATCH(A373,$A$7:$A$56,0))+0.01),"❌ DISTRIBUÍDO MAIS QUE O ACEITO NESSE RECEBIMENTO","OK")))))))</f>
        <v/>
      </c>
      <c r="L373" s="389">
        <f>IF(A373="","",ROW()-59)</f>
        <v/>
      </c>
    </row>
    <row r="374" hidden="1" outlineLevel="1" s="163">
      <c r="A374" s="380" t="n"/>
      <c r="B374" s="372">
        <f>IF(A374="","",IFERROR(INDEX($C$7:$C$56,MATCH(A374,$A$7:$A$56,0)),"Nº INVÁLIDO"))</f>
        <v/>
      </c>
      <c r="C374" s="372">
        <f>IF(A374="","",IFERROR(INDEX($D$7:$D$56,MATCH(A374,$A$7:$A$56,0)),"Nº INVÁLIDO"))</f>
        <v/>
      </c>
      <c r="D374" s="380" t="n"/>
      <c r="E374" s="381">
        <f>IF(D374="","",IFERROR(INDEX('Entrada de Dados'!$B$6:$B$196,MATCH(D374,'Entrada de Dados'!$A$6:$A$196,0)),"CÓDIGO INVÁLIDO"))</f>
        <v/>
      </c>
      <c r="F374" s="373" t="n"/>
      <c r="G374" s="375" t="n"/>
      <c r="H374" s="375" t="n"/>
      <c r="I374" s="376">
        <f>IF(G374="",0,MAX(G374-H374,0))</f>
        <v/>
      </c>
      <c r="J374" s="380" t="n"/>
      <c r="K374" s="162">
        <f>IF(AND(A374="",D374="",G374="",H374=""),"",IF(AND(OR(A374&lt;&gt;"",D374&lt;&gt;""),G374=""),"⏳ PENDENTE (falta qtd. apresentada)",IF(AND(G374&lt;&gt;"",OR(A374="",D374="")),"❌ FALTA Nº RECEBIMENTO/ESCOLA",IF(B374="Nº INVÁLIDO","❌ Nº DE RECEBIMENTO INVÁLIDO",IF(E374="CÓDIGO INVÁLIDO","❌ CÓDIGO DE ESCOLA INVÁLIDO",IF(H374&gt;G374,"❌ REJEITADO MAIOR QUE APRESENTADO",IF(AND(A374&lt;&gt;"",SUMIF($A$60:$A$559,A374,$G$60:$G$559)&gt;INDEX($G$7:$G$56,MATCH(A374,$A$7:$A$56,0))+0.01),"❌ DISTRIBUÍDO MAIS QUE O ACEITO NESSE RECEBIMENTO","OK")))))))</f>
        <v/>
      </c>
      <c r="L374" s="389">
        <f>IF(A374="","",ROW()-59)</f>
        <v/>
      </c>
    </row>
    <row r="375" hidden="1" outlineLevel="1" s="163">
      <c r="A375" s="380" t="n"/>
      <c r="B375" s="372">
        <f>IF(A375="","",IFERROR(INDEX($C$7:$C$56,MATCH(A375,$A$7:$A$56,0)),"Nº INVÁLIDO"))</f>
        <v/>
      </c>
      <c r="C375" s="372">
        <f>IF(A375="","",IFERROR(INDEX($D$7:$D$56,MATCH(A375,$A$7:$A$56,0)),"Nº INVÁLIDO"))</f>
        <v/>
      </c>
      <c r="D375" s="380" t="n"/>
      <c r="E375" s="381">
        <f>IF(D375="","",IFERROR(INDEX('Entrada de Dados'!$B$6:$B$196,MATCH(D375,'Entrada de Dados'!$A$6:$A$196,0)),"CÓDIGO INVÁLIDO"))</f>
        <v/>
      </c>
      <c r="F375" s="373" t="n"/>
      <c r="G375" s="375" t="n"/>
      <c r="H375" s="375" t="n"/>
      <c r="I375" s="376">
        <f>IF(G375="",0,MAX(G375-H375,0))</f>
        <v/>
      </c>
      <c r="J375" s="380" t="n"/>
      <c r="K375" s="162">
        <f>IF(AND(A375="",D375="",G375="",H375=""),"",IF(AND(OR(A375&lt;&gt;"",D375&lt;&gt;""),G375=""),"⏳ PENDENTE (falta qtd. apresentada)",IF(AND(G375&lt;&gt;"",OR(A375="",D375="")),"❌ FALTA Nº RECEBIMENTO/ESCOLA",IF(B375="Nº INVÁLIDO","❌ Nº DE RECEBIMENTO INVÁLIDO",IF(E375="CÓDIGO INVÁLIDO","❌ CÓDIGO DE ESCOLA INVÁLIDO",IF(H375&gt;G375,"❌ REJEITADO MAIOR QUE APRESENTADO",IF(AND(A375&lt;&gt;"",SUMIF($A$60:$A$559,A375,$G$60:$G$559)&gt;INDEX($G$7:$G$56,MATCH(A375,$A$7:$A$56,0))+0.01),"❌ DISTRIBUÍDO MAIS QUE O ACEITO NESSE RECEBIMENTO","OK")))))))</f>
        <v/>
      </c>
      <c r="L375" s="389">
        <f>IF(A375="","",ROW()-59)</f>
        <v/>
      </c>
    </row>
    <row r="376" hidden="1" outlineLevel="1" s="163">
      <c r="A376" s="380" t="n"/>
      <c r="B376" s="372">
        <f>IF(A376="","",IFERROR(INDEX($C$7:$C$56,MATCH(A376,$A$7:$A$56,0)),"Nº INVÁLIDO"))</f>
        <v/>
      </c>
      <c r="C376" s="372">
        <f>IF(A376="","",IFERROR(INDEX($D$7:$D$56,MATCH(A376,$A$7:$A$56,0)),"Nº INVÁLIDO"))</f>
        <v/>
      </c>
      <c r="D376" s="380" t="n"/>
      <c r="E376" s="381">
        <f>IF(D376="","",IFERROR(INDEX('Entrada de Dados'!$B$6:$B$196,MATCH(D376,'Entrada de Dados'!$A$6:$A$196,0)),"CÓDIGO INVÁLIDO"))</f>
        <v/>
      </c>
      <c r="F376" s="373" t="n"/>
      <c r="G376" s="375" t="n"/>
      <c r="H376" s="375" t="n"/>
      <c r="I376" s="376">
        <f>IF(G376="",0,MAX(G376-H376,0))</f>
        <v/>
      </c>
      <c r="J376" s="380" t="n"/>
      <c r="K376" s="162">
        <f>IF(AND(A376="",D376="",G376="",H376=""),"",IF(AND(OR(A376&lt;&gt;"",D376&lt;&gt;""),G376=""),"⏳ PENDENTE (falta qtd. apresentada)",IF(AND(G376&lt;&gt;"",OR(A376="",D376="")),"❌ FALTA Nº RECEBIMENTO/ESCOLA",IF(B376="Nº INVÁLIDO","❌ Nº DE RECEBIMENTO INVÁLIDO",IF(E376="CÓDIGO INVÁLIDO","❌ CÓDIGO DE ESCOLA INVÁLIDO",IF(H376&gt;G376,"❌ REJEITADO MAIOR QUE APRESENTADO",IF(AND(A376&lt;&gt;"",SUMIF($A$60:$A$559,A376,$G$60:$G$559)&gt;INDEX($G$7:$G$56,MATCH(A376,$A$7:$A$56,0))+0.01),"❌ DISTRIBUÍDO MAIS QUE O ACEITO NESSE RECEBIMENTO","OK")))))))</f>
        <v/>
      </c>
      <c r="L376" s="389">
        <f>IF(A376="","",ROW()-59)</f>
        <v/>
      </c>
    </row>
    <row r="377" hidden="1" outlineLevel="1" s="163">
      <c r="A377" s="380" t="n"/>
      <c r="B377" s="372">
        <f>IF(A377="","",IFERROR(INDEX($C$7:$C$56,MATCH(A377,$A$7:$A$56,0)),"Nº INVÁLIDO"))</f>
        <v/>
      </c>
      <c r="C377" s="372">
        <f>IF(A377="","",IFERROR(INDEX($D$7:$D$56,MATCH(A377,$A$7:$A$56,0)),"Nº INVÁLIDO"))</f>
        <v/>
      </c>
      <c r="D377" s="380" t="n"/>
      <c r="E377" s="381">
        <f>IF(D377="","",IFERROR(INDEX('Entrada de Dados'!$B$6:$B$196,MATCH(D377,'Entrada de Dados'!$A$6:$A$196,0)),"CÓDIGO INVÁLIDO"))</f>
        <v/>
      </c>
      <c r="F377" s="373" t="n"/>
      <c r="G377" s="375" t="n"/>
      <c r="H377" s="375" t="n"/>
      <c r="I377" s="376">
        <f>IF(G377="",0,MAX(G377-H377,0))</f>
        <v/>
      </c>
      <c r="J377" s="380" t="n"/>
      <c r="K377" s="162">
        <f>IF(AND(A377="",D377="",G377="",H377=""),"",IF(AND(OR(A377&lt;&gt;"",D377&lt;&gt;""),G377=""),"⏳ PENDENTE (falta qtd. apresentada)",IF(AND(G377&lt;&gt;"",OR(A377="",D377="")),"❌ FALTA Nº RECEBIMENTO/ESCOLA",IF(B377="Nº INVÁLIDO","❌ Nº DE RECEBIMENTO INVÁLIDO",IF(E377="CÓDIGO INVÁLIDO","❌ CÓDIGO DE ESCOLA INVÁLIDO",IF(H377&gt;G377,"❌ REJEITADO MAIOR QUE APRESENTADO",IF(AND(A377&lt;&gt;"",SUMIF($A$60:$A$559,A377,$G$60:$G$559)&gt;INDEX($G$7:$G$56,MATCH(A377,$A$7:$A$56,0))+0.01),"❌ DISTRIBUÍDO MAIS QUE O ACEITO NESSE RECEBIMENTO","OK")))))))</f>
        <v/>
      </c>
      <c r="L377" s="389">
        <f>IF(A377="","",ROW()-59)</f>
        <v/>
      </c>
    </row>
    <row r="378" hidden="1" outlineLevel="1" s="163">
      <c r="A378" s="380" t="n"/>
      <c r="B378" s="372">
        <f>IF(A378="","",IFERROR(INDEX($C$7:$C$56,MATCH(A378,$A$7:$A$56,0)),"Nº INVÁLIDO"))</f>
        <v/>
      </c>
      <c r="C378" s="372">
        <f>IF(A378="","",IFERROR(INDEX($D$7:$D$56,MATCH(A378,$A$7:$A$56,0)),"Nº INVÁLIDO"))</f>
        <v/>
      </c>
      <c r="D378" s="380" t="n"/>
      <c r="E378" s="381">
        <f>IF(D378="","",IFERROR(INDEX('Entrada de Dados'!$B$6:$B$196,MATCH(D378,'Entrada de Dados'!$A$6:$A$196,0)),"CÓDIGO INVÁLIDO"))</f>
        <v/>
      </c>
      <c r="F378" s="373" t="n"/>
      <c r="G378" s="375" t="n"/>
      <c r="H378" s="375" t="n"/>
      <c r="I378" s="376">
        <f>IF(G378="",0,MAX(G378-H378,0))</f>
        <v/>
      </c>
      <c r="J378" s="380" t="n"/>
      <c r="K378" s="162">
        <f>IF(AND(A378="",D378="",G378="",H378=""),"",IF(AND(OR(A378&lt;&gt;"",D378&lt;&gt;""),G378=""),"⏳ PENDENTE (falta qtd. apresentada)",IF(AND(G378&lt;&gt;"",OR(A378="",D378="")),"❌ FALTA Nº RECEBIMENTO/ESCOLA",IF(B378="Nº INVÁLIDO","❌ Nº DE RECEBIMENTO INVÁLIDO",IF(E378="CÓDIGO INVÁLIDO","❌ CÓDIGO DE ESCOLA INVÁLIDO",IF(H378&gt;G378,"❌ REJEITADO MAIOR QUE APRESENTADO",IF(AND(A378&lt;&gt;"",SUMIF($A$60:$A$559,A378,$G$60:$G$559)&gt;INDEX($G$7:$G$56,MATCH(A378,$A$7:$A$56,0))+0.01),"❌ DISTRIBUÍDO MAIS QUE O ACEITO NESSE RECEBIMENTO","OK")))))))</f>
        <v/>
      </c>
      <c r="L378" s="389">
        <f>IF(A378="","",ROW()-59)</f>
        <v/>
      </c>
    </row>
    <row r="379" hidden="1" outlineLevel="1" s="163">
      <c r="A379" s="380" t="n"/>
      <c r="B379" s="372">
        <f>IF(A379="","",IFERROR(INDEX($C$7:$C$56,MATCH(A379,$A$7:$A$56,0)),"Nº INVÁLIDO"))</f>
        <v/>
      </c>
      <c r="C379" s="372">
        <f>IF(A379="","",IFERROR(INDEX($D$7:$D$56,MATCH(A379,$A$7:$A$56,0)),"Nº INVÁLIDO"))</f>
        <v/>
      </c>
      <c r="D379" s="380" t="n"/>
      <c r="E379" s="381">
        <f>IF(D379="","",IFERROR(INDEX('Entrada de Dados'!$B$6:$B$196,MATCH(D379,'Entrada de Dados'!$A$6:$A$196,0)),"CÓDIGO INVÁLIDO"))</f>
        <v/>
      </c>
      <c r="F379" s="373" t="n"/>
      <c r="G379" s="375" t="n"/>
      <c r="H379" s="375" t="n"/>
      <c r="I379" s="376">
        <f>IF(G379="",0,MAX(G379-H379,0))</f>
        <v/>
      </c>
      <c r="J379" s="380" t="n"/>
      <c r="K379" s="162">
        <f>IF(AND(A379="",D379="",G379="",H379=""),"",IF(AND(OR(A379&lt;&gt;"",D379&lt;&gt;""),G379=""),"⏳ PENDENTE (falta qtd. apresentada)",IF(AND(G379&lt;&gt;"",OR(A379="",D379="")),"❌ FALTA Nº RECEBIMENTO/ESCOLA",IF(B379="Nº INVÁLIDO","❌ Nº DE RECEBIMENTO INVÁLIDO",IF(E379="CÓDIGO INVÁLIDO","❌ CÓDIGO DE ESCOLA INVÁLIDO",IF(H379&gt;G379,"❌ REJEITADO MAIOR QUE APRESENTADO",IF(AND(A379&lt;&gt;"",SUMIF($A$60:$A$559,A379,$G$60:$G$559)&gt;INDEX($G$7:$G$56,MATCH(A379,$A$7:$A$56,0))+0.01),"❌ DISTRIBUÍDO MAIS QUE O ACEITO NESSE RECEBIMENTO","OK")))))))</f>
        <v/>
      </c>
      <c r="L379" s="389">
        <f>IF(A379="","",ROW()-59)</f>
        <v/>
      </c>
    </row>
    <row r="380" hidden="1" outlineLevel="1" s="163">
      <c r="A380" s="380" t="n"/>
      <c r="B380" s="372">
        <f>IF(A380="","",IFERROR(INDEX($C$7:$C$56,MATCH(A380,$A$7:$A$56,0)),"Nº INVÁLIDO"))</f>
        <v/>
      </c>
      <c r="C380" s="372">
        <f>IF(A380="","",IFERROR(INDEX($D$7:$D$56,MATCH(A380,$A$7:$A$56,0)),"Nº INVÁLIDO"))</f>
        <v/>
      </c>
      <c r="D380" s="380" t="n"/>
      <c r="E380" s="381">
        <f>IF(D380="","",IFERROR(INDEX('Entrada de Dados'!$B$6:$B$196,MATCH(D380,'Entrada de Dados'!$A$6:$A$196,0)),"CÓDIGO INVÁLIDO"))</f>
        <v/>
      </c>
      <c r="F380" s="373" t="n"/>
      <c r="G380" s="375" t="n"/>
      <c r="H380" s="375" t="n"/>
      <c r="I380" s="376">
        <f>IF(G380="",0,MAX(G380-H380,0))</f>
        <v/>
      </c>
      <c r="J380" s="380" t="n"/>
      <c r="K380" s="162">
        <f>IF(AND(A380="",D380="",G380="",H380=""),"",IF(AND(OR(A380&lt;&gt;"",D380&lt;&gt;""),G380=""),"⏳ PENDENTE (falta qtd. apresentada)",IF(AND(G380&lt;&gt;"",OR(A380="",D380="")),"❌ FALTA Nº RECEBIMENTO/ESCOLA",IF(B380="Nº INVÁLIDO","❌ Nº DE RECEBIMENTO INVÁLIDO",IF(E380="CÓDIGO INVÁLIDO","❌ CÓDIGO DE ESCOLA INVÁLIDO",IF(H380&gt;G380,"❌ REJEITADO MAIOR QUE APRESENTADO",IF(AND(A380&lt;&gt;"",SUMIF($A$60:$A$559,A380,$G$60:$G$559)&gt;INDEX($G$7:$G$56,MATCH(A380,$A$7:$A$56,0))+0.01),"❌ DISTRIBUÍDO MAIS QUE O ACEITO NESSE RECEBIMENTO","OK")))))))</f>
        <v/>
      </c>
      <c r="L380" s="389">
        <f>IF(A380="","",ROW()-59)</f>
        <v/>
      </c>
    </row>
    <row r="381" hidden="1" outlineLevel="1" s="163">
      <c r="A381" s="380" t="n"/>
      <c r="B381" s="372">
        <f>IF(A381="","",IFERROR(INDEX($C$7:$C$56,MATCH(A381,$A$7:$A$56,0)),"Nº INVÁLIDO"))</f>
        <v/>
      </c>
      <c r="C381" s="372">
        <f>IF(A381="","",IFERROR(INDEX($D$7:$D$56,MATCH(A381,$A$7:$A$56,0)),"Nº INVÁLIDO"))</f>
        <v/>
      </c>
      <c r="D381" s="380" t="n"/>
      <c r="E381" s="381">
        <f>IF(D381="","",IFERROR(INDEX('Entrada de Dados'!$B$6:$B$196,MATCH(D381,'Entrada de Dados'!$A$6:$A$196,0)),"CÓDIGO INVÁLIDO"))</f>
        <v/>
      </c>
      <c r="F381" s="373" t="n"/>
      <c r="G381" s="375" t="n"/>
      <c r="H381" s="375" t="n"/>
      <c r="I381" s="376">
        <f>IF(G381="",0,MAX(G381-H381,0))</f>
        <v/>
      </c>
      <c r="J381" s="380" t="n"/>
      <c r="K381" s="162">
        <f>IF(AND(A381="",D381="",G381="",H381=""),"",IF(AND(OR(A381&lt;&gt;"",D381&lt;&gt;""),G381=""),"⏳ PENDENTE (falta qtd. apresentada)",IF(AND(G381&lt;&gt;"",OR(A381="",D381="")),"❌ FALTA Nº RECEBIMENTO/ESCOLA",IF(B381="Nº INVÁLIDO","❌ Nº DE RECEBIMENTO INVÁLIDO",IF(E381="CÓDIGO INVÁLIDO","❌ CÓDIGO DE ESCOLA INVÁLIDO",IF(H381&gt;G381,"❌ REJEITADO MAIOR QUE APRESENTADO",IF(AND(A381&lt;&gt;"",SUMIF($A$60:$A$559,A381,$G$60:$G$559)&gt;INDEX($G$7:$G$56,MATCH(A381,$A$7:$A$56,0))+0.01),"❌ DISTRIBUÍDO MAIS QUE O ACEITO NESSE RECEBIMENTO","OK")))))))</f>
        <v/>
      </c>
      <c r="L381" s="389">
        <f>IF(A381="","",ROW()-59)</f>
        <v/>
      </c>
    </row>
    <row r="382" hidden="1" outlineLevel="1" s="163">
      <c r="A382" s="380" t="n"/>
      <c r="B382" s="372">
        <f>IF(A382="","",IFERROR(INDEX($C$7:$C$56,MATCH(A382,$A$7:$A$56,0)),"Nº INVÁLIDO"))</f>
        <v/>
      </c>
      <c r="C382" s="372">
        <f>IF(A382="","",IFERROR(INDEX($D$7:$D$56,MATCH(A382,$A$7:$A$56,0)),"Nº INVÁLIDO"))</f>
        <v/>
      </c>
      <c r="D382" s="380" t="n"/>
      <c r="E382" s="381">
        <f>IF(D382="","",IFERROR(INDEX('Entrada de Dados'!$B$6:$B$196,MATCH(D382,'Entrada de Dados'!$A$6:$A$196,0)),"CÓDIGO INVÁLIDO"))</f>
        <v/>
      </c>
      <c r="F382" s="373" t="n"/>
      <c r="G382" s="375" t="n"/>
      <c r="H382" s="375" t="n"/>
      <c r="I382" s="376">
        <f>IF(G382="",0,MAX(G382-H382,0))</f>
        <v/>
      </c>
      <c r="J382" s="380" t="n"/>
      <c r="K382" s="162">
        <f>IF(AND(A382="",D382="",G382="",H382=""),"",IF(AND(OR(A382&lt;&gt;"",D382&lt;&gt;""),G382=""),"⏳ PENDENTE (falta qtd. apresentada)",IF(AND(G382&lt;&gt;"",OR(A382="",D382="")),"❌ FALTA Nº RECEBIMENTO/ESCOLA",IF(B382="Nº INVÁLIDO","❌ Nº DE RECEBIMENTO INVÁLIDO",IF(E382="CÓDIGO INVÁLIDO","❌ CÓDIGO DE ESCOLA INVÁLIDO",IF(H382&gt;G382,"❌ REJEITADO MAIOR QUE APRESENTADO",IF(AND(A382&lt;&gt;"",SUMIF($A$60:$A$559,A382,$G$60:$G$559)&gt;INDEX($G$7:$G$56,MATCH(A382,$A$7:$A$56,0))+0.01),"❌ DISTRIBUÍDO MAIS QUE O ACEITO NESSE RECEBIMENTO","OK")))))))</f>
        <v/>
      </c>
      <c r="L382" s="389">
        <f>IF(A382="","",ROW()-59)</f>
        <v/>
      </c>
    </row>
    <row r="383" hidden="1" outlineLevel="1" s="163">
      <c r="A383" s="380" t="n"/>
      <c r="B383" s="372">
        <f>IF(A383="","",IFERROR(INDEX($C$7:$C$56,MATCH(A383,$A$7:$A$56,0)),"Nº INVÁLIDO"))</f>
        <v/>
      </c>
      <c r="C383" s="372">
        <f>IF(A383="","",IFERROR(INDEX($D$7:$D$56,MATCH(A383,$A$7:$A$56,0)),"Nº INVÁLIDO"))</f>
        <v/>
      </c>
      <c r="D383" s="380" t="n"/>
      <c r="E383" s="381">
        <f>IF(D383="","",IFERROR(INDEX('Entrada de Dados'!$B$6:$B$196,MATCH(D383,'Entrada de Dados'!$A$6:$A$196,0)),"CÓDIGO INVÁLIDO"))</f>
        <v/>
      </c>
      <c r="F383" s="373" t="n"/>
      <c r="G383" s="375" t="n"/>
      <c r="H383" s="375" t="n"/>
      <c r="I383" s="376">
        <f>IF(G383="",0,MAX(G383-H383,0))</f>
        <v/>
      </c>
      <c r="J383" s="380" t="n"/>
      <c r="K383" s="162">
        <f>IF(AND(A383="",D383="",G383="",H383=""),"",IF(AND(OR(A383&lt;&gt;"",D383&lt;&gt;""),G383=""),"⏳ PENDENTE (falta qtd. apresentada)",IF(AND(G383&lt;&gt;"",OR(A383="",D383="")),"❌ FALTA Nº RECEBIMENTO/ESCOLA",IF(B383="Nº INVÁLIDO","❌ Nº DE RECEBIMENTO INVÁLIDO",IF(E383="CÓDIGO INVÁLIDO","❌ CÓDIGO DE ESCOLA INVÁLIDO",IF(H383&gt;G383,"❌ REJEITADO MAIOR QUE APRESENTADO",IF(AND(A383&lt;&gt;"",SUMIF($A$60:$A$559,A383,$G$60:$G$559)&gt;INDEX($G$7:$G$56,MATCH(A383,$A$7:$A$56,0))+0.01),"❌ DISTRIBUÍDO MAIS QUE O ACEITO NESSE RECEBIMENTO","OK")))))))</f>
        <v/>
      </c>
      <c r="L383" s="389">
        <f>IF(A383="","",ROW()-59)</f>
        <v/>
      </c>
    </row>
    <row r="384" hidden="1" outlineLevel="1" s="163">
      <c r="A384" s="380" t="n"/>
      <c r="B384" s="372">
        <f>IF(A384="","",IFERROR(INDEX($C$7:$C$56,MATCH(A384,$A$7:$A$56,0)),"Nº INVÁLIDO"))</f>
        <v/>
      </c>
      <c r="C384" s="372">
        <f>IF(A384="","",IFERROR(INDEX($D$7:$D$56,MATCH(A384,$A$7:$A$56,0)),"Nº INVÁLIDO"))</f>
        <v/>
      </c>
      <c r="D384" s="380" t="n"/>
      <c r="E384" s="381">
        <f>IF(D384="","",IFERROR(INDEX('Entrada de Dados'!$B$6:$B$196,MATCH(D384,'Entrada de Dados'!$A$6:$A$196,0)),"CÓDIGO INVÁLIDO"))</f>
        <v/>
      </c>
      <c r="F384" s="373" t="n"/>
      <c r="G384" s="375" t="n"/>
      <c r="H384" s="375" t="n"/>
      <c r="I384" s="376">
        <f>IF(G384="",0,MAX(G384-H384,0))</f>
        <v/>
      </c>
      <c r="J384" s="380" t="n"/>
      <c r="K384" s="162">
        <f>IF(AND(A384="",D384="",G384="",H384=""),"",IF(AND(OR(A384&lt;&gt;"",D384&lt;&gt;""),G384=""),"⏳ PENDENTE (falta qtd. apresentada)",IF(AND(G384&lt;&gt;"",OR(A384="",D384="")),"❌ FALTA Nº RECEBIMENTO/ESCOLA",IF(B384="Nº INVÁLIDO","❌ Nº DE RECEBIMENTO INVÁLIDO",IF(E384="CÓDIGO INVÁLIDO","❌ CÓDIGO DE ESCOLA INVÁLIDO",IF(H384&gt;G384,"❌ REJEITADO MAIOR QUE APRESENTADO",IF(AND(A384&lt;&gt;"",SUMIF($A$60:$A$559,A384,$G$60:$G$559)&gt;INDEX($G$7:$G$56,MATCH(A384,$A$7:$A$56,0))+0.01),"❌ DISTRIBUÍDO MAIS QUE O ACEITO NESSE RECEBIMENTO","OK")))))))</f>
        <v/>
      </c>
      <c r="L384" s="389">
        <f>IF(A384="","",ROW()-59)</f>
        <v/>
      </c>
    </row>
    <row r="385" hidden="1" outlineLevel="1" s="163">
      <c r="A385" s="380" t="n"/>
      <c r="B385" s="372">
        <f>IF(A385="","",IFERROR(INDEX($C$7:$C$56,MATCH(A385,$A$7:$A$56,0)),"Nº INVÁLIDO"))</f>
        <v/>
      </c>
      <c r="C385" s="372">
        <f>IF(A385="","",IFERROR(INDEX($D$7:$D$56,MATCH(A385,$A$7:$A$56,0)),"Nº INVÁLIDO"))</f>
        <v/>
      </c>
      <c r="D385" s="380" t="n"/>
      <c r="E385" s="381">
        <f>IF(D385="","",IFERROR(INDEX('Entrada de Dados'!$B$6:$B$196,MATCH(D385,'Entrada de Dados'!$A$6:$A$196,0)),"CÓDIGO INVÁLIDO"))</f>
        <v/>
      </c>
      <c r="F385" s="373" t="n"/>
      <c r="G385" s="375" t="n"/>
      <c r="H385" s="375" t="n"/>
      <c r="I385" s="376">
        <f>IF(G385="",0,MAX(G385-H385,0))</f>
        <v/>
      </c>
      <c r="J385" s="380" t="n"/>
      <c r="K385" s="162">
        <f>IF(AND(A385="",D385="",G385="",H385=""),"",IF(AND(OR(A385&lt;&gt;"",D385&lt;&gt;""),G385=""),"⏳ PENDENTE (falta qtd. apresentada)",IF(AND(G385&lt;&gt;"",OR(A385="",D385="")),"❌ FALTA Nº RECEBIMENTO/ESCOLA",IF(B385="Nº INVÁLIDO","❌ Nº DE RECEBIMENTO INVÁLIDO",IF(E385="CÓDIGO INVÁLIDO","❌ CÓDIGO DE ESCOLA INVÁLIDO",IF(H385&gt;G385,"❌ REJEITADO MAIOR QUE APRESENTADO",IF(AND(A385&lt;&gt;"",SUMIF($A$60:$A$559,A385,$G$60:$G$559)&gt;INDEX($G$7:$G$56,MATCH(A385,$A$7:$A$56,0))+0.01),"❌ DISTRIBUÍDO MAIS QUE O ACEITO NESSE RECEBIMENTO","OK")))))))</f>
        <v/>
      </c>
      <c r="L385" s="389">
        <f>IF(A385="","",ROW()-59)</f>
        <v/>
      </c>
    </row>
    <row r="386" hidden="1" outlineLevel="1" s="163">
      <c r="A386" s="380" t="n"/>
      <c r="B386" s="372">
        <f>IF(A386="","",IFERROR(INDEX($C$7:$C$56,MATCH(A386,$A$7:$A$56,0)),"Nº INVÁLIDO"))</f>
        <v/>
      </c>
      <c r="C386" s="372">
        <f>IF(A386="","",IFERROR(INDEX($D$7:$D$56,MATCH(A386,$A$7:$A$56,0)),"Nº INVÁLIDO"))</f>
        <v/>
      </c>
      <c r="D386" s="380" t="n"/>
      <c r="E386" s="381">
        <f>IF(D386="","",IFERROR(INDEX('Entrada de Dados'!$B$6:$B$196,MATCH(D386,'Entrada de Dados'!$A$6:$A$196,0)),"CÓDIGO INVÁLIDO"))</f>
        <v/>
      </c>
      <c r="F386" s="373" t="n"/>
      <c r="G386" s="375" t="n"/>
      <c r="H386" s="375" t="n"/>
      <c r="I386" s="376">
        <f>IF(G386="",0,MAX(G386-H386,0))</f>
        <v/>
      </c>
      <c r="J386" s="380" t="n"/>
      <c r="K386" s="162">
        <f>IF(AND(A386="",D386="",G386="",H386=""),"",IF(AND(OR(A386&lt;&gt;"",D386&lt;&gt;""),G386=""),"⏳ PENDENTE (falta qtd. apresentada)",IF(AND(G386&lt;&gt;"",OR(A386="",D386="")),"❌ FALTA Nº RECEBIMENTO/ESCOLA",IF(B386="Nº INVÁLIDO","❌ Nº DE RECEBIMENTO INVÁLIDO",IF(E386="CÓDIGO INVÁLIDO","❌ CÓDIGO DE ESCOLA INVÁLIDO",IF(H386&gt;G386,"❌ REJEITADO MAIOR QUE APRESENTADO",IF(AND(A386&lt;&gt;"",SUMIF($A$60:$A$559,A386,$G$60:$G$559)&gt;INDEX($G$7:$G$56,MATCH(A386,$A$7:$A$56,0))+0.01),"❌ DISTRIBUÍDO MAIS QUE O ACEITO NESSE RECEBIMENTO","OK")))))))</f>
        <v/>
      </c>
      <c r="L386" s="389">
        <f>IF(A386="","",ROW()-59)</f>
        <v/>
      </c>
    </row>
    <row r="387" hidden="1" outlineLevel="1" s="163">
      <c r="A387" s="380" t="n"/>
      <c r="B387" s="372">
        <f>IF(A387="","",IFERROR(INDEX($C$7:$C$56,MATCH(A387,$A$7:$A$56,0)),"Nº INVÁLIDO"))</f>
        <v/>
      </c>
      <c r="C387" s="372">
        <f>IF(A387="","",IFERROR(INDEX($D$7:$D$56,MATCH(A387,$A$7:$A$56,0)),"Nº INVÁLIDO"))</f>
        <v/>
      </c>
      <c r="D387" s="380" t="n"/>
      <c r="E387" s="381">
        <f>IF(D387="","",IFERROR(INDEX('Entrada de Dados'!$B$6:$B$196,MATCH(D387,'Entrada de Dados'!$A$6:$A$196,0)),"CÓDIGO INVÁLIDO"))</f>
        <v/>
      </c>
      <c r="F387" s="373" t="n"/>
      <c r="G387" s="375" t="n"/>
      <c r="H387" s="375" t="n"/>
      <c r="I387" s="376">
        <f>IF(G387="",0,MAX(G387-H387,0))</f>
        <v/>
      </c>
      <c r="J387" s="380" t="n"/>
      <c r="K387" s="162">
        <f>IF(AND(A387="",D387="",G387="",H387=""),"",IF(AND(OR(A387&lt;&gt;"",D387&lt;&gt;""),G387=""),"⏳ PENDENTE (falta qtd. apresentada)",IF(AND(G387&lt;&gt;"",OR(A387="",D387="")),"❌ FALTA Nº RECEBIMENTO/ESCOLA",IF(B387="Nº INVÁLIDO","❌ Nº DE RECEBIMENTO INVÁLIDO",IF(E387="CÓDIGO INVÁLIDO","❌ CÓDIGO DE ESCOLA INVÁLIDO",IF(H387&gt;G387,"❌ REJEITADO MAIOR QUE APRESENTADO",IF(AND(A387&lt;&gt;"",SUMIF($A$60:$A$559,A387,$G$60:$G$559)&gt;INDEX($G$7:$G$56,MATCH(A387,$A$7:$A$56,0))+0.01),"❌ DISTRIBUÍDO MAIS QUE O ACEITO NESSE RECEBIMENTO","OK")))))))</f>
        <v/>
      </c>
      <c r="L387" s="389">
        <f>IF(A387="","",ROW()-59)</f>
        <v/>
      </c>
    </row>
    <row r="388" hidden="1" outlineLevel="1" s="163">
      <c r="A388" s="380" t="n"/>
      <c r="B388" s="372">
        <f>IF(A388="","",IFERROR(INDEX($C$7:$C$56,MATCH(A388,$A$7:$A$56,0)),"Nº INVÁLIDO"))</f>
        <v/>
      </c>
      <c r="C388" s="372">
        <f>IF(A388="","",IFERROR(INDEX($D$7:$D$56,MATCH(A388,$A$7:$A$56,0)),"Nº INVÁLIDO"))</f>
        <v/>
      </c>
      <c r="D388" s="380" t="n"/>
      <c r="E388" s="381">
        <f>IF(D388="","",IFERROR(INDEX('Entrada de Dados'!$B$6:$B$196,MATCH(D388,'Entrada de Dados'!$A$6:$A$196,0)),"CÓDIGO INVÁLIDO"))</f>
        <v/>
      </c>
      <c r="F388" s="373" t="n"/>
      <c r="G388" s="375" t="n"/>
      <c r="H388" s="375" t="n"/>
      <c r="I388" s="376">
        <f>IF(G388="",0,MAX(G388-H388,0))</f>
        <v/>
      </c>
      <c r="J388" s="380" t="n"/>
      <c r="K388" s="162">
        <f>IF(AND(A388="",D388="",G388="",H388=""),"",IF(AND(OR(A388&lt;&gt;"",D388&lt;&gt;""),G388=""),"⏳ PENDENTE (falta qtd. apresentada)",IF(AND(G388&lt;&gt;"",OR(A388="",D388="")),"❌ FALTA Nº RECEBIMENTO/ESCOLA",IF(B388="Nº INVÁLIDO","❌ Nº DE RECEBIMENTO INVÁLIDO",IF(E388="CÓDIGO INVÁLIDO","❌ CÓDIGO DE ESCOLA INVÁLIDO",IF(H388&gt;G388,"❌ REJEITADO MAIOR QUE APRESENTADO",IF(AND(A388&lt;&gt;"",SUMIF($A$60:$A$559,A388,$G$60:$G$559)&gt;INDEX($G$7:$G$56,MATCH(A388,$A$7:$A$56,0))+0.01),"❌ DISTRIBUÍDO MAIS QUE O ACEITO NESSE RECEBIMENTO","OK")))))))</f>
        <v/>
      </c>
      <c r="L388" s="389">
        <f>IF(A388="","",ROW()-59)</f>
        <v/>
      </c>
    </row>
    <row r="389" hidden="1" outlineLevel="1" s="163">
      <c r="A389" s="380" t="n"/>
      <c r="B389" s="372">
        <f>IF(A389="","",IFERROR(INDEX($C$7:$C$56,MATCH(A389,$A$7:$A$56,0)),"Nº INVÁLIDO"))</f>
        <v/>
      </c>
      <c r="C389" s="372">
        <f>IF(A389="","",IFERROR(INDEX($D$7:$D$56,MATCH(A389,$A$7:$A$56,0)),"Nº INVÁLIDO"))</f>
        <v/>
      </c>
      <c r="D389" s="380" t="n"/>
      <c r="E389" s="381">
        <f>IF(D389="","",IFERROR(INDEX('Entrada de Dados'!$B$6:$B$196,MATCH(D389,'Entrada de Dados'!$A$6:$A$196,0)),"CÓDIGO INVÁLIDO"))</f>
        <v/>
      </c>
      <c r="F389" s="373" t="n"/>
      <c r="G389" s="375" t="n"/>
      <c r="H389" s="375" t="n"/>
      <c r="I389" s="376">
        <f>IF(G389="",0,MAX(G389-H389,0))</f>
        <v/>
      </c>
      <c r="J389" s="380" t="n"/>
      <c r="K389" s="162">
        <f>IF(AND(A389="",D389="",G389="",H389=""),"",IF(AND(OR(A389&lt;&gt;"",D389&lt;&gt;""),G389=""),"⏳ PENDENTE (falta qtd. apresentada)",IF(AND(G389&lt;&gt;"",OR(A389="",D389="")),"❌ FALTA Nº RECEBIMENTO/ESCOLA",IF(B389="Nº INVÁLIDO","❌ Nº DE RECEBIMENTO INVÁLIDO",IF(E389="CÓDIGO INVÁLIDO","❌ CÓDIGO DE ESCOLA INVÁLIDO",IF(H389&gt;G389,"❌ REJEITADO MAIOR QUE APRESENTADO",IF(AND(A389&lt;&gt;"",SUMIF($A$60:$A$559,A389,$G$60:$G$559)&gt;INDEX($G$7:$G$56,MATCH(A389,$A$7:$A$56,0))+0.01),"❌ DISTRIBUÍDO MAIS QUE O ACEITO NESSE RECEBIMENTO","OK")))))))</f>
        <v/>
      </c>
      <c r="L389" s="389">
        <f>IF(A389="","",ROW()-59)</f>
        <v/>
      </c>
    </row>
    <row r="390" hidden="1" outlineLevel="1" s="163">
      <c r="A390" s="380" t="n"/>
      <c r="B390" s="372">
        <f>IF(A390="","",IFERROR(INDEX($C$7:$C$56,MATCH(A390,$A$7:$A$56,0)),"Nº INVÁLIDO"))</f>
        <v/>
      </c>
      <c r="C390" s="372">
        <f>IF(A390="","",IFERROR(INDEX($D$7:$D$56,MATCH(A390,$A$7:$A$56,0)),"Nº INVÁLIDO"))</f>
        <v/>
      </c>
      <c r="D390" s="380" t="n"/>
      <c r="E390" s="381">
        <f>IF(D390="","",IFERROR(INDEX('Entrada de Dados'!$B$6:$B$196,MATCH(D390,'Entrada de Dados'!$A$6:$A$196,0)),"CÓDIGO INVÁLIDO"))</f>
        <v/>
      </c>
      <c r="F390" s="373" t="n"/>
      <c r="G390" s="375" t="n"/>
      <c r="H390" s="375" t="n"/>
      <c r="I390" s="376">
        <f>IF(G390="",0,MAX(G390-H390,0))</f>
        <v/>
      </c>
      <c r="J390" s="380" t="n"/>
      <c r="K390" s="162">
        <f>IF(AND(A390="",D390="",G390="",H390=""),"",IF(AND(OR(A390&lt;&gt;"",D390&lt;&gt;""),G390=""),"⏳ PENDENTE (falta qtd. apresentada)",IF(AND(G390&lt;&gt;"",OR(A390="",D390="")),"❌ FALTA Nº RECEBIMENTO/ESCOLA",IF(B390="Nº INVÁLIDO","❌ Nº DE RECEBIMENTO INVÁLIDO",IF(E390="CÓDIGO INVÁLIDO","❌ CÓDIGO DE ESCOLA INVÁLIDO",IF(H390&gt;G390,"❌ REJEITADO MAIOR QUE APRESENTADO",IF(AND(A390&lt;&gt;"",SUMIF($A$60:$A$559,A390,$G$60:$G$559)&gt;INDEX($G$7:$G$56,MATCH(A390,$A$7:$A$56,0))+0.01),"❌ DISTRIBUÍDO MAIS QUE O ACEITO NESSE RECEBIMENTO","OK")))))))</f>
        <v/>
      </c>
      <c r="L390" s="389">
        <f>IF(A390="","",ROW()-59)</f>
        <v/>
      </c>
    </row>
    <row r="391" hidden="1" outlineLevel="1" s="163">
      <c r="A391" s="380" t="n"/>
      <c r="B391" s="372">
        <f>IF(A391="","",IFERROR(INDEX($C$7:$C$56,MATCH(A391,$A$7:$A$56,0)),"Nº INVÁLIDO"))</f>
        <v/>
      </c>
      <c r="C391" s="372">
        <f>IF(A391="","",IFERROR(INDEX($D$7:$D$56,MATCH(A391,$A$7:$A$56,0)),"Nº INVÁLIDO"))</f>
        <v/>
      </c>
      <c r="D391" s="380" t="n"/>
      <c r="E391" s="381">
        <f>IF(D391="","",IFERROR(INDEX('Entrada de Dados'!$B$6:$B$196,MATCH(D391,'Entrada de Dados'!$A$6:$A$196,0)),"CÓDIGO INVÁLIDO"))</f>
        <v/>
      </c>
      <c r="F391" s="373" t="n"/>
      <c r="G391" s="375" t="n"/>
      <c r="H391" s="375" t="n"/>
      <c r="I391" s="376">
        <f>IF(G391="",0,MAX(G391-H391,0))</f>
        <v/>
      </c>
      <c r="J391" s="380" t="n"/>
      <c r="K391" s="162">
        <f>IF(AND(A391="",D391="",G391="",H391=""),"",IF(AND(OR(A391&lt;&gt;"",D391&lt;&gt;""),G391=""),"⏳ PENDENTE (falta qtd. apresentada)",IF(AND(G391&lt;&gt;"",OR(A391="",D391="")),"❌ FALTA Nº RECEBIMENTO/ESCOLA",IF(B391="Nº INVÁLIDO","❌ Nº DE RECEBIMENTO INVÁLIDO",IF(E391="CÓDIGO INVÁLIDO","❌ CÓDIGO DE ESCOLA INVÁLIDO",IF(H391&gt;G391,"❌ REJEITADO MAIOR QUE APRESENTADO",IF(AND(A391&lt;&gt;"",SUMIF($A$60:$A$559,A391,$G$60:$G$559)&gt;INDEX($G$7:$G$56,MATCH(A391,$A$7:$A$56,0))+0.01),"❌ DISTRIBUÍDO MAIS QUE O ACEITO NESSE RECEBIMENTO","OK")))))))</f>
        <v/>
      </c>
      <c r="L391" s="389">
        <f>IF(A391="","",ROW()-59)</f>
        <v/>
      </c>
    </row>
    <row r="392" hidden="1" outlineLevel="1" s="163">
      <c r="A392" s="380" t="n"/>
      <c r="B392" s="372">
        <f>IF(A392="","",IFERROR(INDEX($C$7:$C$56,MATCH(A392,$A$7:$A$56,0)),"Nº INVÁLIDO"))</f>
        <v/>
      </c>
      <c r="C392" s="372">
        <f>IF(A392="","",IFERROR(INDEX($D$7:$D$56,MATCH(A392,$A$7:$A$56,0)),"Nº INVÁLIDO"))</f>
        <v/>
      </c>
      <c r="D392" s="380" t="n"/>
      <c r="E392" s="381">
        <f>IF(D392="","",IFERROR(INDEX('Entrada de Dados'!$B$6:$B$196,MATCH(D392,'Entrada de Dados'!$A$6:$A$196,0)),"CÓDIGO INVÁLIDO"))</f>
        <v/>
      </c>
      <c r="F392" s="373" t="n"/>
      <c r="G392" s="375" t="n"/>
      <c r="H392" s="375" t="n"/>
      <c r="I392" s="376">
        <f>IF(G392="",0,MAX(G392-H392,0))</f>
        <v/>
      </c>
      <c r="J392" s="380" t="n"/>
      <c r="K392" s="162">
        <f>IF(AND(A392="",D392="",G392="",H392=""),"",IF(AND(OR(A392&lt;&gt;"",D392&lt;&gt;""),G392=""),"⏳ PENDENTE (falta qtd. apresentada)",IF(AND(G392&lt;&gt;"",OR(A392="",D392="")),"❌ FALTA Nº RECEBIMENTO/ESCOLA",IF(B392="Nº INVÁLIDO","❌ Nº DE RECEBIMENTO INVÁLIDO",IF(E392="CÓDIGO INVÁLIDO","❌ CÓDIGO DE ESCOLA INVÁLIDO",IF(H392&gt;G392,"❌ REJEITADO MAIOR QUE APRESENTADO",IF(AND(A392&lt;&gt;"",SUMIF($A$60:$A$559,A392,$G$60:$G$559)&gt;INDEX($G$7:$G$56,MATCH(A392,$A$7:$A$56,0))+0.01),"❌ DISTRIBUÍDO MAIS QUE O ACEITO NESSE RECEBIMENTO","OK")))))))</f>
        <v/>
      </c>
      <c r="L392" s="389">
        <f>IF(A392="","",ROW()-59)</f>
        <v/>
      </c>
    </row>
    <row r="393" hidden="1" outlineLevel="1" s="163">
      <c r="A393" s="380" t="n"/>
      <c r="B393" s="372">
        <f>IF(A393="","",IFERROR(INDEX($C$7:$C$56,MATCH(A393,$A$7:$A$56,0)),"Nº INVÁLIDO"))</f>
        <v/>
      </c>
      <c r="C393" s="372">
        <f>IF(A393="","",IFERROR(INDEX($D$7:$D$56,MATCH(A393,$A$7:$A$56,0)),"Nº INVÁLIDO"))</f>
        <v/>
      </c>
      <c r="D393" s="380" t="n"/>
      <c r="E393" s="381">
        <f>IF(D393="","",IFERROR(INDEX('Entrada de Dados'!$B$6:$B$196,MATCH(D393,'Entrada de Dados'!$A$6:$A$196,0)),"CÓDIGO INVÁLIDO"))</f>
        <v/>
      </c>
      <c r="F393" s="373" t="n"/>
      <c r="G393" s="375" t="n"/>
      <c r="H393" s="375" t="n"/>
      <c r="I393" s="376">
        <f>IF(G393="",0,MAX(G393-H393,0))</f>
        <v/>
      </c>
      <c r="J393" s="380" t="n"/>
      <c r="K393" s="162">
        <f>IF(AND(A393="",D393="",G393="",H393=""),"",IF(AND(OR(A393&lt;&gt;"",D393&lt;&gt;""),G393=""),"⏳ PENDENTE (falta qtd. apresentada)",IF(AND(G393&lt;&gt;"",OR(A393="",D393="")),"❌ FALTA Nº RECEBIMENTO/ESCOLA",IF(B393="Nº INVÁLIDO","❌ Nº DE RECEBIMENTO INVÁLIDO",IF(E393="CÓDIGO INVÁLIDO","❌ CÓDIGO DE ESCOLA INVÁLIDO",IF(H393&gt;G393,"❌ REJEITADO MAIOR QUE APRESENTADO",IF(AND(A393&lt;&gt;"",SUMIF($A$60:$A$559,A393,$G$60:$G$559)&gt;INDEX($G$7:$G$56,MATCH(A393,$A$7:$A$56,0))+0.01),"❌ DISTRIBUÍDO MAIS QUE O ACEITO NESSE RECEBIMENTO","OK")))))))</f>
        <v/>
      </c>
      <c r="L393" s="389">
        <f>IF(A393="","",ROW()-59)</f>
        <v/>
      </c>
    </row>
    <row r="394" hidden="1" outlineLevel="1" s="163">
      <c r="A394" s="380" t="n"/>
      <c r="B394" s="372">
        <f>IF(A394="","",IFERROR(INDEX($C$7:$C$56,MATCH(A394,$A$7:$A$56,0)),"Nº INVÁLIDO"))</f>
        <v/>
      </c>
      <c r="C394" s="372">
        <f>IF(A394="","",IFERROR(INDEX($D$7:$D$56,MATCH(A394,$A$7:$A$56,0)),"Nº INVÁLIDO"))</f>
        <v/>
      </c>
      <c r="D394" s="380" t="n"/>
      <c r="E394" s="381">
        <f>IF(D394="","",IFERROR(INDEX('Entrada de Dados'!$B$6:$B$196,MATCH(D394,'Entrada de Dados'!$A$6:$A$196,0)),"CÓDIGO INVÁLIDO"))</f>
        <v/>
      </c>
      <c r="F394" s="373" t="n"/>
      <c r="G394" s="375" t="n"/>
      <c r="H394" s="375" t="n"/>
      <c r="I394" s="376">
        <f>IF(G394="",0,MAX(G394-H394,0))</f>
        <v/>
      </c>
      <c r="J394" s="380" t="n"/>
      <c r="K394" s="162">
        <f>IF(AND(A394="",D394="",G394="",H394=""),"",IF(AND(OR(A394&lt;&gt;"",D394&lt;&gt;""),G394=""),"⏳ PENDENTE (falta qtd. apresentada)",IF(AND(G394&lt;&gt;"",OR(A394="",D394="")),"❌ FALTA Nº RECEBIMENTO/ESCOLA",IF(B394="Nº INVÁLIDO","❌ Nº DE RECEBIMENTO INVÁLIDO",IF(E394="CÓDIGO INVÁLIDO","❌ CÓDIGO DE ESCOLA INVÁLIDO",IF(H394&gt;G394,"❌ REJEITADO MAIOR QUE APRESENTADO",IF(AND(A394&lt;&gt;"",SUMIF($A$60:$A$559,A394,$G$60:$G$559)&gt;INDEX($G$7:$G$56,MATCH(A394,$A$7:$A$56,0))+0.01),"❌ DISTRIBUÍDO MAIS QUE O ACEITO NESSE RECEBIMENTO","OK")))))))</f>
        <v/>
      </c>
      <c r="L394" s="389">
        <f>IF(A394="","",ROW()-59)</f>
        <v/>
      </c>
    </row>
    <row r="395" hidden="1" outlineLevel="1" s="163">
      <c r="A395" s="380" t="n"/>
      <c r="B395" s="372">
        <f>IF(A395="","",IFERROR(INDEX($C$7:$C$56,MATCH(A395,$A$7:$A$56,0)),"Nº INVÁLIDO"))</f>
        <v/>
      </c>
      <c r="C395" s="372">
        <f>IF(A395="","",IFERROR(INDEX($D$7:$D$56,MATCH(A395,$A$7:$A$56,0)),"Nº INVÁLIDO"))</f>
        <v/>
      </c>
      <c r="D395" s="380" t="n"/>
      <c r="E395" s="381">
        <f>IF(D395="","",IFERROR(INDEX('Entrada de Dados'!$B$6:$B$196,MATCH(D395,'Entrada de Dados'!$A$6:$A$196,0)),"CÓDIGO INVÁLIDO"))</f>
        <v/>
      </c>
      <c r="F395" s="373" t="n"/>
      <c r="G395" s="375" t="n"/>
      <c r="H395" s="375" t="n"/>
      <c r="I395" s="376">
        <f>IF(G395="",0,MAX(G395-H395,0))</f>
        <v/>
      </c>
      <c r="J395" s="380" t="n"/>
      <c r="K395" s="162">
        <f>IF(AND(A395="",D395="",G395="",H395=""),"",IF(AND(OR(A395&lt;&gt;"",D395&lt;&gt;""),G395=""),"⏳ PENDENTE (falta qtd. apresentada)",IF(AND(G395&lt;&gt;"",OR(A395="",D395="")),"❌ FALTA Nº RECEBIMENTO/ESCOLA",IF(B395="Nº INVÁLIDO","❌ Nº DE RECEBIMENTO INVÁLIDO",IF(E395="CÓDIGO INVÁLIDO","❌ CÓDIGO DE ESCOLA INVÁLIDO",IF(H395&gt;G395,"❌ REJEITADO MAIOR QUE APRESENTADO",IF(AND(A395&lt;&gt;"",SUMIF($A$60:$A$559,A395,$G$60:$G$559)&gt;INDEX($G$7:$G$56,MATCH(A395,$A$7:$A$56,0))+0.01),"❌ DISTRIBUÍDO MAIS QUE O ACEITO NESSE RECEBIMENTO","OK")))))))</f>
        <v/>
      </c>
      <c r="L395" s="389">
        <f>IF(A395="","",ROW()-59)</f>
        <v/>
      </c>
    </row>
    <row r="396" hidden="1" outlineLevel="1" s="163">
      <c r="A396" s="380" t="n"/>
      <c r="B396" s="372">
        <f>IF(A396="","",IFERROR(INDEX($C$7:$C$56,MATCH(A396,$A$7:$A$56,0)),"Nº INVÁLIDO"))</f>
        <v/>
      </c>
      <c r="C396" s="372">
        <f>IF(A396="","",IFERROR(INDEX($D$7:$D$56,MATCH(A396,$A$7:$A$56,0)),"Nº INVÁLIDO"))</f>
        <v/>
      </c>
      <c r="D396" s="380" t="n"/>
      <c r="E396" s="381">
        <f>IF(D396="","",IFERROR(INDEX('Entrada de Dados'!$B$6:$B$196,MATCH(D396,'Entrada de Dados'!$A$6:$A$196,0)),"CÓDIGO INVÁLIDO"))</f>
        <v/>
      </c>
      <c r="F396" s="373" t="n"/>
      <c r="G396" s="375" t="n"/>
      <c r="H396" s="375" t="n"/>
      <c r="I396" s="376">
        <f>IF(G396="",0,MAX(G396-H396,0))</f>
        <v/>
      </c>
      <c r="J396" s="380" t="n"/>
      <c r="K396" s="162">
        <f>IF(AND(A396="",D396="",G396="",H396=""),"",IF(AND(OR(A396&lt;&gt;"",D396&lt;&gt;""),G396=""),"⏳ PENDENTE (falta qtd. apresentada)",IF(AND(G396&lt;&gt;"",OR(A396="",D396="")),"❌ FALTA Nº RECEBIMENTO/ESCOLA",IF(B396="Nº INVÁLIDO","❌ Nº DE RECEBIMENTO INVÁLIDO",IF(E396="CÓDIGO INVÁLIDO","❌ CÓDIGO DE ESCOLA INVÁLIDO",IF(H396&gt;G396,"❌ REJEITADO MAIOR QUE APRESENTADO",IF(AND(A396&lt;&gt;"",SUMIF($A$60:$A$559,A396,$G$60:$G$559)&gt;INDEX($G$7:$G$56,MATCH(A396,$A$7:$A$56,0))+0.01),"❌ DISTRIBUÍDO MAIS QUE O ACEITO NESSE RECEBIMENTO","OK")))))))</f>
        <v/>
      </c>
      <c r="L396" s="389">
        <f>IF(A396="","",ROW()-59)</f>
        <v/>
      </c>
    </row>
    <row r="397" hidden="1" outlineLevel="1" s="163">
      <c r="A397" s="380" t="n"/>
      <c r="B397" s="372">
        <f>IF(A397="","",IFERROR(INDEX($C$7:$C$56,MATCH(A397,$A$7:$A$56,0)),"Nº INVÁLIDO"))</f>
        <v/>
      </c>
      <c r="C397" s="372">
        <f>IF(A397="","",IFERROR(INDEX($D$7:$D$56,MATCH(A397,$A$7:$A$56,0)),"Nº INVÁLIDO"))</f>
        <v/>
      </c>
      <c r="D397" s="380" t="n"/>
      <c r="E397" s="381">
        <f>IF(D397="","",IFERROR(INDEX('Entrada de Dados'!$B$6:$B$196,MATCH(D397,'Entrada de Dados'!$A$6:$A$196,0)),"CÓDIGO INVÁLIDO"))</f>
        <v/>
      </c>
      <c r="F397" s="373" t="n"/>
      <c r="G397" s="375" t="n"/>
      <c r="H397" s="375" t="n"/>
      <c r="I397" s="376">
        <f>IF(G397="",0,MAX(G397-H397,0))</f>
        <v/>
      </c>
      <c r="J397" s="380" t="n"/>
      <c r="K397" s="162">
        <f>IF(AND(A397="",D397="",G397="",H397=""),"",IF(AND(OR(A397&lt;&gt;"",D397&lt;&gt;""),G397=""),"⏳ PENDENTE (falta qtd. apresentada)",IF(AND(G397&lt;&gt;"",OR(A397="",D397="")),"❌ FALTA Nº RECEBIMENTO/ESCOLA",IF(B397="Nº INVÁLIDO","❌ Nº DE RECEBIMENTO INVÁLIDO",IF(E397="CÓDIGO INVÁLIDO","❌ CÓDIGO DE ESCOLA INVÁLIDO",IF(H397&gt;G397,"❌ REJEITADO MAIOR QUE APRESENTADO",IF(AND(A397&lt;&gt;"",SUMIF($A$60:$A$559,A397,$G$60:$G$559)&gt;INDEX($G$7:$G$56,MATCH(A397,$A$7:$A$56,0))+0.01),"❌ DISTRIBUÍDO MAIS QUE O ACEITO NESSE RECEBIMENTO","OK")))))))</f>
        <v/>
      </c>
      <c r="L397" s="389">
        <f>IF(A397="","",ROW()-59)</f>
        <v/>
      </c>
    </row>
    <row r="398" hidden="1" outlineLevel="1" s="163">
      <c r="A398" s="380" t="n"/>
      <c r="B398" s="372">
        <f>IF(A398="","",IFERROR(INDEX($C$7:$C$56,MATCH(A398,$A$7:$A$56,0)),"Nº INVÁLIDO"))</f>
        <v/>
      </c>
      <c r="C398" s="372">
        <f>IF(A398="","",IFERROR(INDEX($D$7:$D$56,MATCH(A398,$A$7:$A$56,0)),"Nº INVÁLIDO"))</f>
        <v/>
      </c>
      <c r="D398" s="380" t="n"/>
      <c r="E398" s="381">
        <f>IF(D398="","",IFERROR(INDEX('Entrada de Dados'!$B$6:$B$196,MATCH(D398,'Entrada de Dados'!$A$6:$A$196,0)),"CÓDIGO INVÁLIDO"))</f>
        <v/>
      </c>
      <c r="F398" s="373" t="n"/>
      <c r="G398" s="375" t="n"/>
      <c r="H398" s="375" t="n"/>
      <c r="I398" s="376">
        <f>IF(G398="",0,MAX(G398-H398,0))</f>
        <v/>
      </c>
      <c r="J398" s="380" t="n"/>
      <c r="K398" s="162">
        <f>IF(AND(A398="",D398="",G398="",H398=""),"",IF(AND(OR(A398&lt;&gt;"",D398&lt;&gt;""),G398=""),"⏳ PENDENTE (falta qtd. apresentada)",IF(AND(G398&lt;&gt;"",OR(A398="",D398="")),"❌ FALTA Nº RECEBIMENTO/ESCOLA",IF(B398="Nº INVÁLIDO","❌ Nº DE RECEBIMENTO INVÁLIDO",IF(E398="CÓDIGO INVÁLIDO","❌ CÓDIGO DE ESCOLA INVÁLIDO",IF(H398&gt;G398,"❌ REJEITADO MAIOR QUE APRESENTADO",IF(AND(A398&lt;&gt;"",SUMIF($A$60:$A$559,A398,$G$60:$G$559)&gt;INDEX($G$7:$G$56,MATCH(A398,$A$7:$A$56,0))+0.01),"❌ DISTRIBUÍDO MAIS QUE O ACEITO NESSE RECEBIMENTO","OK")))))))</f>
        <v/>
      </c>
      <c r="L398" s="389">
        <f>IF(A398="","",ROW()-59)</f>
        <v/>
      </c>
    </row>
    <row r="399" hidden="1" outlineLevel="1" s="163">
      <c r="A399" s="380" t="n"/>
      <c r="B399" s="372">
        <f>IF(A399="","",IFERROR(INDEX($C$7:$C$56,MATCH(A399,$A$7:$A$56,0)),"Nº INVÁLIDO"))</f>
        <v/>
      </c>
      <c r="C399" s="372">
        <f>IF(A399="","",IFERROR(INDEX($D$7:$D$56,MATCH(A399,$A$7:$A$56,0)),"Nº INVÁLIDO"))</f>
        <v/>
      </c>
      <c r="D399" s="380" t="n"/>
      <c r="E399" s="381">
        <f>IF(D399="","",IFERROR(INDEX('Entrada de Dados'!$B$6:$B$196,MATCH(D399,'Entrada de Dados'!$A$6:$A$196,0)),"CÓDIGO INVÁLIDO"))</f>
        <v/>
      </c>
      <c r="F399" s="373" t="n"/>
      <c r="G399" s="375" t="n"/>
      <c r="H399" s="375" t="n"/>
      <c r="I399" s="376">
        <f>IF(G399="",0,MAX(G399-H399,0))</f>
        <v/>
      </c>
      <c r="J399" s="380" t="n"/>
      <c r="K399" s="162">
        <f>IF(AND(A399="",D399="",G399="",H399=""),"",IF(AND(OR(A399&lt;&gt;"",D399&lt;&gt;""),G399=""),"⏳ PENDENTE (falta qtd. apresentada)",IF(AND(G399&lt;&gt;"",OR(A399="",D399="")),"❌ FALTA Nº RECEBIMENTO/ESCOLA",IF(B399="Nº INVÁLIDO","❌ Nº DE RECEBIMENTO INVÁLIDO",IF(E399="CÓDIGO INVÁLIDO","❌ CÓDIGO DE ESCOLA INVÁLIDO",IF(H399&gt;G399,"❌ REJEITADO MAIOR QUE APRESENTADO",IF(AND(A399&lt;&gt;"",SUMIF($A$60:$A$559,A399,$G$60:$G$559)&gt;INDEX($G$7:$G$56,MATCH(A399,$A$7:$A$56,0))+0.01),"❌ DISTRIBUÍDO MAIS QUE O ACEITO NESSE RECEBIMENTO","OK")))))))</f>
        <v/>
      </c>
      <c r="L399" s="389">
        <f>IF(A399="","",ROW()-59)</f>
        <v/>
      </c>
    </row>
    <row r="400" hidden="1" outlineLevel="1" s="163">
      <c r="A400" s="380" t="n"/>
      <c r="B400" s="372">
        <f>IF(A400="","",IFERROR(INDEX($C$7:$C$56,MATCH(A400,$A$7:$A$56,0)),"Nº INVÁLIDO"))</f>
        <v/>
      </c>
      <c r="C400" s="372">
        <f>IF(A400="","",IFERROR(INDEX($D$7:$D$56,MATCH(A400,$A$7:$A$56,0)),"Nº INVÁLIDO"))</f>
        <v/>
      </c>
      <c r="D400" s="380" t="n"/>
      <c r="E400" s="381">
        <f>IF(D400="","",IFERROR(INDEX('Entrada de Dados'!$B$6:$B$196,MATCH(D400,'Entrada de Dados'!$A$6:$A$196,0)),"CÓDIGO INVÁLIDO"))</f>
        <v/>
      </c>
      <c r="F400" s="373" t="n"/>
      <c r="G400" s="375" t="n"/>
      <c r="H400" s="375" t="n"/>
      <c r="I400" s="376">
        <f>IF(G400="",0,MAX(G400-H400,0))</f>
        <v/>
      </c>
      <c r="J400" s="380" t="n"/>
      <c r="K400" s="162">
        <f>IF(AND(A400="",D400="",G400="",H400=""),"",IF(AND(OR(A400&lt;&gt;"",D400&lt;&gt;""),G400=""),"⏳ PENDENTE (falta qtd. apresentada)",IF(AND(G400&lt;&gt;"",OR(A400="",D400="")),"❌ FALTA Nº RECEBIMENTO/ESCOLA",IF(B400="Nº INVÁLIDO","❌ Nº DE RECEBIMENTO INVÁLIDO",IF(E400="CÓDIGO INVÁLIDO","❌ CÓDIGO DE ESCOLA INVÁLIDO",IF(H400&gt;G400,"❌ REJEITADO MAIOR QUE APRESENTADO",IF(AND(A400&lt;&gt;"",SUMIF($A$60:$A$559,A400,$G$60:$G$559)&gt;INDEX($G$7:$G$56,MATCH(A400,$A$7:$A$56,0))+0.01),"❌ DISTRIBUÍDO MAIS QUE O ACEITO NESSE RECEBIMENTO","OK")))))))</f>
        <v/>
      </c>
      <c r="L400" s="389">
        <f>IF(A400="","",ROW()-59)</f>
        <v/>
      </c>
    </row>
    <row r="401" hidden="1" outlineLevel="1" s="163">
      <c r="A401" s="380" t="n"/>
      <c r="B401" s="372">
        <f>IF(A401="","",IFERROR(INDEX($C$7:$C$56,MATCH(A401,$A$7:$A$56,0)),"Nº INVÁLIDO"))</f>
        <v/>
      </c>
      <c r="C401" s="372">
        <f>IF(A401="","",IFERROR(INDEX($D$7:$D$56,MATCH(A401,$A$7:$A$56,0)),"Nº INVÁLIDO"))</f>
        <v/>
      </c>
      <c r="D401" s="380" t="n"/>
      <c r="E401" s="381">
        <f>IF(D401="","",IFERROR(INDEX('Entrada de Dados'!$B$6:$B$196,MATCH(D401,'Entrada de Dados'!$A$6:$A$196,0)),"CÓDIGO INVÁLIDO"))</f>
        <v/>
      </c>
      <c r="F401" s="373" t="n"/>
      <c r="G401" s="375" t="n"/>
      <c r="H401" s="375" t="n"/>
      <c r="I401" s="376">
        <f>IF(G401="",0,MAX(G401-H401,0))</f>
        <v/>
      </c>
      <c r="J401" s="380" t="n"/>
      <c r="K401" s="162">
        <f>IF(AND(A401="",D401="",G401="",H401=""),"",IF(AND(OR(A401&lt;&gt;"",D401&lt;&gt;""),G401=""),"⏳ PENDENTE (falta qtd. apresentada)",IF(AND(G401&lt;&gt;"",OR(A401="",D401="")),"❌ FALTA Nº RECEBIMENTO/ESCOLA",IF(B401="Nº INVÁLIDO","❌ Nº DE RECEBIMENTO INVÁLIDO",IF(E401="CÓDIGO INVÁLIDO","❌ CÓDIGO DE ESCOLA INVÁLIDO",IF(H401&gt;G401,"❌ REJEITADO MAIOR QUE APRESENTADO",IF(AND(A401&lt;&gt;"",SUMIF($A$60:$A$559,A401,$G$60:$G$559)&gt;INDEX($G$7:$G$56,MATCH(A401,$A$7:$A$56,0))+0.01),"❌ DISTRIBUÍDO MAIS QUE O ACEITO NESSE RECEBIMENTO","OK")))))))</f>
        <v/>
      </c>
      <c r="L401" s="389">
        <f>IF(A401="","",ROW()-59)</f>
        <v/>
      </c>
    </row>
    <row r="402" hidden="1" outlineLevel="1" s="163">
      <c r="A402" s="380" t="n"/>
      <c r="B402" s="372">
        <f>IF(A402="","",IFERROR(INDEX($C$7:$C$56,MATCH(A402,$A$7:$A$56,0)),"Nº INVÁLIDO"))</f>
        <v/>
      </c>
      <c r="C402" s="372">
        <f>IF(A402="","",IFERROR(INDEX($D$7:$D$56,MATCH(A402,$A$7:$A$56,0)),"Nº INVÁLIDO"))</f>
        <v/>
      </c>
      <c r="D402" s="380" t="n"/>
      <c r="E402" s="381">
        <f>IF(D402="","",IFERROR(INDEX('Entrada de Dados'!$B$6:$B$196,MATCH(D402,'Entrada de Dados'!$A$6:$A$196,0)),"CÓDIGO INVÁLIDO"))</f>
        <v/>
      </c>
      <c r="F402" s="373" t="n"/>
      <c r="G402" s="375" t="n"/>
      <c r="H402" s="375" t="n"/>
      <c r="I402" s="376">
        <f>IF(G402="",0,MAX(G402-H402,0))</f>
        <v/>
      </c>
      <c r="J402" s="380" t="n"/>
      <c r="K402" s="162">
        <f>IF(AND(A402="",D402="",G402="",H402=""),"",IF(AND(OR(A402&lt;&gt;"",D402&lt;&gt;""),G402=""),"⏳ PENDENTE (falta qtd. apresentada)",IF(AND(G402&lt;&gt;"",OR(A402="",D402="")),"❌ FALTA Nº RECEBIMENTO/ESCOLA",IF(B402="Nº INVÁLIDO","❌ Nº DE RECEBIMENTO INVÁLIDO",IF(E402="CÓDIGO INVÁLIDO","❌ CÓDIGO DE ESCOLA INVÁLIDO",IF(H402&gt;G402,"❌ REJEITADO MAIOR QUE APRESENTADO",IF(AND(A402&lt;&gt;"",SUMIF($A$60:$A$559,A402,$G$60:$G$559)&gt;INDEX($G$7:$G$56,MATCH(A402,$A$7:$A$56,0))+0.01),"❌ DISTRIBUÍDO MAIS QUE O ACEITO NESSE RECEBIMENTO","OK")))))))</f>
        <v/>
      </c>
      <c r="L402" s="389">
        <f>IF(A402="","",ROW()-59)</f>
        <v/>
      </c>
    </row>
    <row r="403" hidden="1" outlineLevel="1" s="163">
      <c r="A403" s="380" t="n"/>
      <c r="B403" s="372">
        <f>IF(A403="","",IFERROR(INDEX($C$7:$C$56,MATCH(A403,$A$7:$A$56,0)),"Nº INVÁLIDO"))</f>
        <v/>
      </c>
      <c r="C403" s="372">
        <f>IF(A403="","",IFERROR(INDEX($D$7:$D$56,MATCH(A403,$A$7:$A$56,0)),"Nº INVÁLIDO"))</f>
        <v/>
      </c>
      <c r="D403" s="380" t="n"/>
      <c r="E403" s="381">
        <f>IF(D403="","",IFERROR(INDEX('Entrada de Dados'!$B$6:$B$196,MATCH(D403,'Entrada de Dados'!$A$6:$A$196,0)),"CÓDIGO INVÁLIDO"))</f>
        <v/>
      </c>
      <c r="F403" s="373" t="n"/>
      <c r="G403" s="375" t="n"/>
      <c r="H403" s="375" t="n"/>
      <c r="I403" s="376">
        <f>IF(G403="",0,MAX(G403-H403,0))</f>
        <v/>
      </c>
      <c r="J403" s="380" t="n"/>
      <c r="K403" s="162">
        <f>IF(AND(A403="",D403="",G403="",H403=""),"",IF(AND(OR(A403&lt;&gt;"",D403&lt;&gt;""),G403=""),"⏳ PENDENTE (falta qtd. apresentada)",IF(AND(G403&lt;&gt;"",OR(A403="",D403="")),"❌ FALTA Nº RECEBIMENTO/ESCOLA",IF(B403="Nº INVÁLIDO","❌ Nº DE RECEBIMENTO INVÁLIDO",IF(E403="CÓDIGO INVÁLIDO","❌ CÓDIGO DE ESCOLA INVÁLIDO",IF(H403&gt;G403,"❌ REJEITADO MAIOR QUE APRESENTADO",IF(AND(A403&lt;&gt;"",SUMIF($A$60:$A$559,A403,$G$60:$G$559)&gt;INDEX($G$7:$G$56,MATCH(A403,$A$7:$A$56,0))+0.01),"❌ DISTRIBUÍDO MAIS QUE O ACEITO NESSE RECEBIMENTO","OK")))))))</f>
        <v/>
      </c>
      <c r="L403" s="389">
        <f>IF(A403="","",ROW()-59)</f>
        <v/>
      </c>
    </row>
    <row r="404" hidden="1" outlineLevel="1" s="163">
      <c r="A404" s="380" t="n"/>
      <c r="B404" s="372">
        <f>IF(A404="","",IFERROR(INDEX($C$7:$C$56,MATCH(A404,$A$7:$A$56,0)),"Nº INVÁLIDO"))</f>
        <v/>
      </c>
      <c r="C404" s="372">
        <f>IF(A404="","",IFERROR(INDEX($D$7:$D$56,MATCH(A404,$A$7:$A$56,0)),"Nº INVÁLIDO"))</f>
        <v/>
      </c>
      <c r="D404" s="380" t="n"/>
      <c r="E404" s="381">
        <f>IF(D404="","",IFERROR(INDEX('Entrada de Dados'!$B$6:$B$196,MATCH(D404,'Entrada de Dados'!$A$6:$A$196,0)),"CÓDIGO INVÁLIDO"))</f>
        <v/>
      </c>
      <c r="F404" s="373" t="n"/>
      <c r="G404" s="375" t="n"/>
      <c r="H404" s="375" t="n"/>
      <c r="I404" s="376">
        <f>IF(G404="",0,MAX(G404-H404,0))</f>
        <v/>
      </c>
      <c r="J404" s="380" t="n"/>
      <c r="K404" s="162">
        <f>IF(AND(A404="",D404="",G404="",H404=""),"",IF(AND(OR(A404&lt;&gt;"",D404&lt;&gt;""),G404=""),"⏳ PENDENTE (falta qtd. apresentada)",IF(AND(G404&lt;&gt;"",OR(A404="",D404="")),"❌ FALTA Nº RECEBIMENTO/ESCOLA",IF(B404="Nº INVÁLIDO","❌ Nº DE RECEBIMENTO INVÁLIDO",IF(E404="CÓDIGO INVÁLIDO","❌ CÓDIGO DE ESCOLA INVÁLIDO",IF(H404&gt;G404,"❌ REJEITADO MAIOR QUE APRESENTADO",IF(AND(A404&lt;&gt;"",SUMIF($A$60:$A$559,A404,$G$60:$G$559)&gt;INDEX($G$7:$G$56,MATCH(A404,$A$7:$A$56,0))+0.01),"❌ DISTRIBUÍDO MAIS QUE O ACEITO NESSE RECEBIMENTO","OK")))))))</f>
        <v/>
      </c>
      <c r="L404" s="389">
        <f>IF(A404="","",ROW()-59)</f>
        <v/>
      </c>
    </row>
    <row r="405" hidden="1" outlineLevel="1" s="163">
      <c r="A405" s="380" t="n"/>
      <c r="B405" s="372">
        <f>IF(A405="","",IFERROR(INDEX($C$7:$C$56,MATCH(A405,$A$7:$A$56,0)),"Nº INVÁLIDO"))</f>
        <v/>
      </c>
      <c r="C405" s="372">
        <f>IF(A405="","",IFERROR(INDEX($D$7:$D$56,MATCH(A405,$A$7:$A$56,0)),"Nº INVÁLIDO"))</f>
        <v/>
      </c>
      <c r="D405" s="380" t="n"/>
      <c r="E405" s="381">
        <f>IF(D405="","",IFERROR(INDEX('Entrada de Dados'!$B$6:$B$196,MATCH(D405,'Entrada de Dados'!$A$6:$A$196,0)),"CÓDIGO INVÁLIDO"))</f>
        <v/>
      </c>
      <c r="F405" s="373" t="n"/>
      <c r="G405" s="375" t="n"/>
      <c r="H405" s="375" t="n"/>
      <c r="I405" s="376">
        <f>IF(G405="",0,MAX(G405-H405,0))</f>
        <v/>
      </c>
      <c r="J405" s="380" t="n"/>
      <c r="K405" s="162">
        <f>IF(AND(A405="",D405="",G405="",H405=""),"",IF(AND(OR(A405&lt;&gt;"",D405&lt;&gt;""),G405=""),"⏳ PENDENTE (falta qtd. apresentada)",IF(AND(G405&lt;&gt;"",OR(A405="",D405="")),"❌ FALTA Nº RECEBIMENTO/ESCOLA",IF(B405="Nº INVÁLIDO","❌ Nº DE RECEBIMENTO INVÁLIDO",IF(E405="CÓDIGO INVÁLIDO","❌ CÓDIGO DE ESCOLA INVÁLIDO",IF(H405&gt;G405,"❌ REJEITADO MAIOR QUE APRESENTADO",IF(AND(A405&lt;&gt;"",SUMIF($A$60:$A$559,A405,$G$60:$G$559)&gt;INDEX($G$7:$G$56,MATCH(A405,$A$7:$A$56,0))+0.01),"❌ DISTRIBUÍDO MAIS QUE O ACEITO NESSE RECEBIMENTO","OK")))))))</f>
        <v/>
      </c>
      <c r="L405" s="389">
        <f>IF(A405="","",ROW()-59)</f>
        <v/>
      </c>
    </row>
    <row r="406" hidden="1" outlineLevel="1" s="163">
      <c r="A406" s="380" t="n"/>
      <c r="B406" s="372">
        <f>IF(A406="","",IFERROR(INDEX($C$7:$C$56,MATCH(A406,$A$7:$A$56,0)),"Nº INVÁLIDO"))</f>
        <v/>
      </c>
      <c r="C406" s="372">
        <f>IF(A406="","",IFERROR(INDEX($D$7:$D$56,MATCH(A406,$A$7:$A$56,0)),"Nº INVÁLIDO"))</f>
        <v/>
      </c>
      <c r="D406" s="380" t="n"/>
      <c r="E406" s="381">
        <f>IF(D406="","",IFERROR(INDEX('Entrada de Dados'!$B$6:$B$196,MATCH(D406,'Entrada de Dados'!$A$6:$A$196,0)),"CÓDIGO INVÁLIDO"))</f>
        <v/>
      </c>
      <c r="F406" s="373" t="n"/>
      <c r="G406" s="375" t="n"/>
      <c r="H406" s="375" t="n"/>
      <c r="I406" s="376">
        <f>IF(G406="",0,MAX(G406-H406,0))</f>
        <v/>
      </c>
      <c r="J406" s="380" t="n"/>
      <c r="K406" s="162">
        <f>IF(AND(A406="",D406="",G406="",H406=""),"",IF(AND(OR(A406&lt;&gt;"",D406&lt;&gt;""),G406=""),"⏳ PENDENTE (falta qtd. apresentada)",IF(AND(G406&lt;&gt;"",OR(A406="",D406="")),"❌ FALTA Nº RECEBIMENTO/ESCOLA",IF(B406="Nº INVÁLIDO","❌ Nº DE RECEBIMENTO INVÁLIDO",IF(E406="CÓDIGO INVÁLIDO","❌ CÓDIGO DE ESCOLA INVÁLIDO",IF(H406&gt;G406,"❌ REJEITADO MAIOR QUE APRESENTADO",IF(AND(A406&lt;&gt;"",SUMIF($A$60:$A$559,A406,$G$60:$G$559)&gt;INDEX($G$7:$G$56,MATCH(A406,$A$7:$A$56,0))+0.01),"❌ DISTRIBUÍDO MAIS QUE O ACEITO NESSE RECEBIMENTO","OK")))))))</f>
        <v/>
      </c>
      <c r="L406" s="389">
        <f>IF(A406="","",ROW()-59)</f>
        <v/>
      </c>
    </row>
    <row r="407" hidden="1" outlineLevel="1" s="163">
      <c r="A407" s="380" t="n"/>
      <c r="B407" s="372">
        <f>IF(A407="","",IFERROR(INDEX($C$7:$C$56,MATCH(A407,$A$7:$A$56,0)),"Nº INVÁLIDO"))</f>
        <v/>
      </c>
      <c r="C407" s="372">
        <f>IF(A407="","",IFERROR(INDEX($D$7:$D$56,MATCH(A407,$A$7:$A$56,0)),"Nº INVÁLIDO"))</f>
        <v/>
      </c>
      <c r="D407" s="380" t="n"/>
      <c r="E407" s="381">
        <f>IF(D407="","",IFERROR(INDEX('Entrada de Dados'!$B$6:$B$196,MATCH(D407,'Entrada de Dados'!$A$6:$A$196,0)),"CÓDIGO INVÁLIDO"))</f>
        <v/>
      </c>
      <c r="F407" s="373" t="n"/>
      <c r="G407" s="375" t="n"/>
      <c r="H407" s="375" t="n"/>
      <c r="I407" s="376">
        <f>IF(G407="",0,MAX(G407-H407,0))</f>
        <v/>
      </c>
      <c r="J407" s="380" t="n"/>
      <c r="K407" s="162">
        <f>IF(AND(A407="",D407="",G407="",H407=""),"",IF(AND(OR(A407&lt;&gt;"",D407&lt;&gt;""),G407=""),"⏳ PENDENTE (falta qtd. apresentada)",IF(AND(G407&lt;&gt;"",OR(A407="",D407="")),"❌ FALTA Nº RECEBIMENTO/ESCOLA",IF(B407="Nº INVÁLIDO","❌ Nº DE RECEBIMENTO INVÁLIDO",IF(E407="CÓDIGO INVÁLIDO","❌ CÓDIGO DE ESCOLA INVÁLIDO",IF(H407&gt;G407,"❌ REJEITADO MAIOR QUE APRESENTADO",IF(AND(A407&lt;&gt;"",SUMIF($A$60:$A$559,A407,$G$60:$G$559)&gt;INDEX($G$7:$G$56,MATCH(A407,$A$7:$A$56,0))+0.01),"❌ DISTRIBUÍDO MAIS QUE O ACEITO NESSE RECEBIMENTO","OK")))))))</f>
        <v/>
      </c>
      <c r="L407" s="389">
        <f>IF(A407="","",ROW()-59)</f>
        <v/>
      </c>
    </row>
    <row r="408" hidden="1" outlineLevel="1" s="163">
      <c r="A408" s="380" t="n"/>
      <c r="B408" s="372">
        <f>IF(A408="","",IFERROR(INDEX($C$7:$C$56,MATCH(A408,$A$7:$A$56,0)),"Nº INVÁLIDO"))</f>
        <v/>
      </c>
      <c r="C408" s="372">
        <f>IF(A408="","",IFERROR(INDEX($D$7:$D$56,MATCH(A408,$A$7:$A$56,0)),"Nº INVÁLIDO"))</f>
        <v/>
      </c>
      <c r="D408" s="380" t="n"/>
      <c r="E408" s="381">
        <f>IF(D408="","",IFERROR(INDEX('Entrada de Dados'!$B$6:$B$196,MATCH(D408,'Entrada de Dados'!$A$6:$A$196,0)),"CÓDIGO INVÁLIDO"))</f>
        <v/>
      </c>
      <c r="F408" s="373" t="n"/>
      <c r="G408" s="375" t="n"/>
      <c r="H408" s="375" t="n"/>
      <c r="I408" s="376">
        <f>IF(G408="",0,MAX(G408-H408,0))</f>
        <v/>
      </c>
      <c r="J408" s="380" t="n"/>
      <c r="K408" s="162">
        <f>IF(AND(A408="",D408="",G408="",H408=""),"",IF(AND(OR(A408&lt;&gt;"",D408&lt;&gt;""),G408=""),"⏳ PENDENTE (falta qtd. apresentada)",IF(AND(G408&lt;&gt;"",OR(A408="",D408="")),"❌ FALTA Nº RECEBIMENTO/ESCOLA",IF(B408="Nº INVÁLIDO","❌ Nº DE RECEBIMENTO INVÁLIDO",IF(E408="CÓDIGO INVÁLIDO","❌ CÓDIGO DE ESCOLA INVÁLIDO",IF(H408&gt;G408,"❌ REJEITADO MAIOR QUE APRESENTADO",IF(AND(A408&lt;&gt;"",SUMIF($A$60:$A$559,A408,$G$60:$G$559)&gt;INDEX($G$7:$G$56,MATCH(A408,$A$7:$A$56,0))+0.01),"❌ DISTRIBUÍDO MAIS QUE O ACEITO NESSE RECEBIMENTO","OK")))))))</f>
        <v/>
      </c>
      <c r="L408" s="389">
        <f>IF(A408="","",ROW()-59)</f>
        <v/>
      </c>
    </row>
    <row r="409" hidden="1" outlineLevel="1" s="163">
      <c r="A409" s="380" t="n"/>
      <c r="B409" s="372">
        <f>IF(A409="","",IFERROR(INDEX($C$7:$C$56,MATCH(A409,$A$7:$A$56,0)),"Nº INVÁLIDO"))</f>
        <v/>
      </c>
      <c r="C409" s="372">
        <f>IF(A409="","",IFERROR(INDEX($D$7:$D$56,MATCH(A409,$A$7:$A$56,0)),"Nº INVÁLIDO"))</f>
        <v/>
      </c>
      <c r="D409" s="380" t="n"/>
      <c r="E409" s="381">
        <f>IF(D409="","",IFERROR(INDEX('Entrada de Dados'!$B$6:$B$196,MATCH(D409,'Entrada de Dados'!$A$6:$A$196,0)),"CÓDIGO INVÁLIDO"))</f>
        <v/>
      </c>
      <c r="F409" s="373" t="n"/>
      <c r="G409" s="375" t="n"/>
      <c r="H409" s="375" t="n"/>
      <c r="I409" s="376">
        <f>IF(G409="",0,MAX(G409-H409,0))</f>
        <v/>
      </c>
      <c r="J409" s="380" t="n"/>
      <c r="K409" s="162">
        <f>IF(AND(A409="",D409="",G409="",H409=""),"",IF(AND(OR(A409&lt;&gt;"",D409&lt;&gt;""),G409=""),"⏳ PENDENTE (falta qtd. apresentada)",IF(AND(G409&lt;&gt;"",OR(A409="",D409="")),"❌ FALTA Nº RECEBIMENTO/ESCOLA",IF(B409="Nº INVÁLIDO","❌ Nº DE RECEBIMENTO INVÁLIDO",IF(E409="CÓDIGO INVÁLIDO","❌ CÓDIGO DE ESCOLA INVÁLIDO",IF(H409&gt;G409,"❌ REJEITADO MAIOR QUE APRESENTADO",IF(AND(A409&lt;&gt;"",SUMIF($A$60:$A$559,A409,$G$60:$G$559)&gt;INDEX($G$7:$G$56,MATCH(A409,$A$7:$A$56,0))+0.01),"❌ DISTRIBUÍDO MAIS QUE O ACEITO NESSE RECEBIMENTO","OK")))))))</f>
        <v/>
      </c>
      <c r="L409" s="389">
        <f>IF(A409="","",ROW()-59)</f>
        <v/>
      </c>
    </row>
    <row r="410" hidden="1" outlineLevel="1" s="163">
      <c r="A410" s="380" t="n"/>
      <c r="B410" s="372">
        <f>IF(A410="","",IFERROR(INDEX($C$7:$C$56,MATCH(A410,$A$7:$A$56,0)),"Nº INVÁLIDO"))</f>
        <v/>
      </c>
      <c r="C410" s="372">
        <f>IF(A410="","",IFERROR(INDEX($D$7:$D$56,MATCH(A410,$A$7:$A$56,0)),"Nº INVÁLIDO"))</f>
        <v/>
      </c>
      <c r="D410" s="380" t="n"/>
      <c r="E410" s="381">
        <f>IF(D410="","",IFERROR(INDEX('Entrada de Dados'!$B$6:$B$196,MATCH(D410,'Entrada de Dados'!$A$6:$A$196,0)),"CÓDIGO INVÁLIDO"))</f>
        <v/>
      </c>
      <c r="F410" s="373" t="n"/>
      <c r="G410" s="375" t="n"/>
      <c r="H410" s="375" t="n"/>
      <c r="I410" s="376">
        <f>IF(G410="",0,MAX(G410-H410,0))</f>
        <v/>
      </c>
      <c r="J410" s="380" t="n"/>
      <c r="K410" s="162">
        <f>IF(AND(A410="",D410="",G410="",H410=""),"",IF(AND(OR(A410&lt;&gt;"",D410&lt;&gt;""),G410=""),"⏳ PENDENTE (falta qtd. apresentada)",IF(AND(G410&lt;&gt;"",OR(A410="",D410="")),"❌ FALTA Nº RECEBIMENTO/ESCOLA",IF(B410="Nº INVÁLIDO","❌ Nº DE RECEBIMENTO INVÁLIDO",IF(E410="CÓDIGO INVÁLIDO","❌ CÓDIGO DE ESCOLA INVÁLIDO",IF(H410&gt;G410,"❌ REJEITADO MAIOR QUE APRESENTADO",IF(AND(A410&lt;&gt;"",SUMIF($A$60:$A$559,A410,$G$60:$G$559)&gt;INDEX($G$7:$G$56,MATCH(A410,$A$7:$A$56,0))+0.01),"❌ DISTRIBUÍDO MAIS QUE O ACEITO NESSE RECEBIMENTO","OK")))))))</f>
        <v/>
      </c>
      <c r="L410" s="389">
        <f>IF(A410="","",ROW()-59)</f>
        <v/>
      </c>
    </row>
    <row r="411" hidden="1" outlineLevel="1" s="163">
      <c r="A411" s="380" t="n"/>
      <c r="B411" s="372">
        <f>IF(A411="","",IFERROR(INDEX($C$7:$C$56,MATCH(A411,$A$7:$A$56,0)),"Nº INVÁLIDO"))</f>
        <v/>
      </c>
      <c r="C411" s="372">
        <f>IF(A411="","",IFERROR(INDEX($D$7:$D$56,MATCH(A411,$A$7:$A$56,0)),"Nº INVÁLIDO"))</f>
        <v/>
      </c>
      <c r="D411" s="380" t="n"/>
      <c r="E411" s="381">
        <f>IF(D411="","",IFERROR(INDEX('Entrada de Dados'!$B$6:$B$196,MATCH(D411,'Entrada de Dados'!$A$6:$A$196,0)),"CÓDIGO INVÁLIDO"))</f>
        <v/>
      </c>
      <c r="F411" s="373" t="n"/>
      <c r="G411" s="375" t="n"/>
      <c r="H411" s="375" t="n"/>
      <c r="I411" s="376">
        <f>IF(G411="",0,MAX(G411-H411,0))</f>
        <v/>
      </c>
      <c r="J411" s="380" t="n"/>
      <c r="K411" s="162">
        <f>IF(AND(A411="",D411="",G411="",H411=""),"",IF(AND(OR(A411&lt;&gt;"",D411&lt;&gt;""),G411=""),"⏳ PENDENTE (falta qtd. apresentada)",IF(AND(G411&lt;&gt;"",OR(A411="",D411="")),"❌ FALTA Nº RECEBIMENTO/ESCOLA",IF(B411="Nº INVÁLIDO","❌ Nº DE RECEBIMENTO INVÁLIDO",IF(E411="CÓDIGO INVÁLIDO","❌ CÓDIGO DE ESCOLA INVÁLIDO",IF(H411&gt;G411,"❌ REJEITADO MAIOR QUE APRESENTADO",IF(AND(A411&lt;&gt;"",SUMIF($A$60:$A$559,A411,$G$60:$G$559)&gt;INDEX($G$7:$G$56,MATCH(A411,$A$7:$A$56,0))+0.01),"❌ DISTRIBUÍDO MAIS QUE O ACEITO NESSE RECEBIMENTO","OK")))))))</f>
        <v/>
      </c>
      <c r="L411" s="389">
        <f>IF(A411="","",ROW()-59)</f>
        <v/>
      </c>
    </row>
    <row r="412" hidden="1" outlineLevel="1" s="163">
      <c r="A412" s="380" t="n"/>
      <c r="B412" s="372">
        <f>IF(A412="","",IFERROR(INDEX($C$7:$C$56,MATCH(A412,$A$7:$A$56,0)),"Nº INVÁLIDO"))</f>
        <v/>
      </c>
      <c r="C412" s="372">
        <f>IF(A412="","",IFERROR(INDEX($D$7:$D$56,MATCH(A412,$A$7:$A$56,0)),"Nº INVÁLIDO"))</f>
        <v/>
      </c>
      <c r="D412" s="380" t="n"/>
      <c r="E412" s="381">
        <f>IF(D412="","",IFERROR(INDEX('Entrada de Dados'!$B$6:$B$196,MATCH(D412,'Entrada de Dados'!$A$6:$A$196,0)),"CÓDIGO INVÁLIDO"))</f>
        <v/>
      </c>
      <c r="F412" s="373" t="n"/>
      <c r="G412" s="375" t="n"/>
      <c r="H412" s="375" t="n"/>
      <c r="I412" s="376">
        <f>IF(G412="",0,MAX(G412-H412,0))</f>
        <v/>
      </c>
      <c r="J412" s="380" t="n"/>
      <c r="K412" s="162">
        <f>IF(AND(A412="",D412="",G412="",H412=""),"",IF(AND(OR(A412&lt;&gt;"",D412&lt;&gt;""),G412=""),"⏳ PENDENTE (falta qtd. apresentada)",IF(AND(G412&lt;&gt;"",OR(A412="",D412="")),"❌ FALTA Nº RECEBIMENTO/ESCOLA",IF(B412="Nº INVÁLIDO","❌ Nº DE RECEBIMENTO INVÁLIDO",IF(E412="CÓDIGO INVÁLIDO","❌ CÓDIGO DE ESCOLA INVÁLIDO",IF(H412&gt;G412,"❌ REJEITADO MAIOR QUE APRESENTADO",IF(AND(A412&lt;&gt;"",SUMIF($A$60:$A$559,A412,$G$60:$G$559)&gt;INDEX($G$7:$G$56,MATCH(A412,$A$7:$A$56,0))+0.01),"❌ DISTRIBUÍDO MAIS QUE O ACEITO NESSE RECEBIMENTO","OK")))))))</f>
        <v/>
      </c>
      <c r="L412" s="389">
        <f>IF(A412="","",ROW()-59)</f>
        <v/>
      </c>
    </row>
    <row r="413" hidden="1" outlineLevel="1" s="163">
      <c r="A413" s="380" t="n"/>
      <c r="B413" s="372">
        <f>IF(A413="","",IFERROR(INDEX($C$7:$C$56,MATCH(A413,$A$7:$A$56,0)),"Nº INVÁLIDO"))</f>
        <v/>
      </c>
      <c r="C413" s="372">
        <f>IF(A413="","",IFERROR(INDEX($D$7:$D$56,MATCH(A413,$A$7:$A$56,0)),"Nº INVÁLIDO"))</f>
        <v/>
      </c>
      <c r="D413" s="380" t="n"/>
      <c r="E413" s="381">
        <f>IF(D413="","",IFERROR(INDEX('Entrada de Dados'!$B$6:$B$196,MATCH(D413,'Entrada de Dados'!$A$6:$A$196,0)),"CÓDIGO INVÁLIDO"))</f>
        <v/>
      </c>
      <c r="F413" s="373" t="n"/>
      <c r="G413" s="375" t="n"/>
      <c r="H413" s="375" t="n"/>
      <c r="I413" s="376">
        <f>IF(G413="",0,MAX(G413-H413,0))</f>
        <v/>
      </c>
      <c r="J413" s="380" t="n"/>
      <c r="K413" s="162">
        <f>IF(AND(A413="",D413="",G413="",H413=""),"",IF(AND(OR(A413&lt;&gt;"",D413&lt;&gt;""),G413=""),"⏳ PENDENTE (falta qtd. apresentada)",IF(AND(G413&lt;&gt;"",OR(A413="",D413="")),"❌ FALTA Nº RECEBIMENTO/ESCOLA",IF(B413="Nº INVÁLIDO","❌ Nº DE RECEBIMENTO INVÁLIDO",IF(E413="CÓDIGO INVÁLIDO","❌ CÓDIGO DE ESCOLA INVÁLIDO",IF(H413&gt;G413,"❌ REJEITADO MAIOR QUE APRESENTADO",IF(AND(A413&lt;&gt;"",SUMIF($A$60:$A$559,A413,$G$60:$G$559)&gt;INDEX($G$7:$G$56,MATCH(A413,$A$7:$A$56,0))+0.01),"❌ DISTRIBUÍDO MAIS QUE O ACEITO NESSE RECEBIMENTO","OK")))))))</f>
        <v/>
      </c>
      <c r="L413" s="389">
        <f>IF(A413="","",ROW()-59)</f>
        <v/>
      </c>
    </row>
    <row r="414" hidden="1" outlineLevel="1" s="163">
      <c r="A414" s="380" t="n"/>
      <c r="B414" s="372">
        <f>IF(A414="","",IFERROR(INDEX($C$7:$C$56,MATCH(A414,$A$7:$A$56,0)),"Nº INVÁLIDO"))</f>
        <v/>
      </c>
      <c r="C414" s="372">
        <f>IF(A414="","",IFERROR(INDEX($D$7:$D$56,MATCH(A414,$A$7:$A$56,0)),"Nº INVÁLIDO"))</f>
        <v/>
      </c>
      <c r="D414" s="380" t="n"/>
      <c r="E414" s="381">
        <f>IF(D414="","",IFERROR(INDEX('Entrada de Dados'!$B$6:$B$196,MATCH(D414,'Entrada de Dados'!$A$6:$A$196,0)),"CÓDIGO INVÁLIDO"))</f>
        <v/>
      </c>
      <c r="F414" s="373" t="n"/>
      <c r="G414" s="375" t="n"/>
      <c r="H414" s="375" t="n"/>
      <c r="I414" s="376">
        <f>IF(G414="",0,MAX(G414-H414,0))</f>
        <v/>
      </c>
      <c r="J414" s="380" t="n"/>
      <c r="K414" s="162">
        <f>IF(AND(A414="",D414="",G414="",H414=""),"",IF(AND(OR(A414&lt;&gt;"",D414&lt;&gt;""),G414=""),"⏳ PENDENTE (falta qtd. apresentada)",IF(AND(G414&lt;&gt;"",OR(A414="",D414="")),"❌ FALTA Nº RECEBIMENTO/ESCOLA",IF(B414="Nº INVÁLIDO","❌ Nº DE RECEBIMENTO INVÁLIDO",IF(E414="CÓDIGO INVÁLIDO","❌ CÓDIGO DE ESCOLA INVÁLIDO",IF(H414&gt;G414,"❌ REJEITADO MAIOR QUE APRESENTADO",IF(AND(A414&lt;&gt;"",SUMIF($A$60:$A$559,A414,$G$60:$G$559)&gt;INDEX($G$7:$G$56,MATCH(A414,$A$7:$A$56,0))+0.01),"❌ DISTRIBUÍDO MAIS QUE O ACEITO NESSE RECEBIMENTO","OK")))))))</f>
        <v/>
      </c>
      <c r="L414" s="389">
        <f>IF(A414="","",ROW()-59)</f>
        <v/>
      </c>
    </row>
    <row r="415" hidden="1" outlineLevel="1" s="163">
      <c r="A415" s="380" t="n"/>
      <c r="B415" s="372">
        <f>IF(A415="","",IFERROR(INDEX($C$7:$C$56,MATCH(A415,$A$7:$A$56,0)),"Nº INVÁLIDO"))</f>
        <v/>
      </c>
      <c r="C415" s="372">
        <f>IF(A415="","",IFERROR(INDEX($D$7:$D$56,MATCH(A415,$A$7:$A$56,0)),"Nº INVÁLIDO"))</f>
        <v/>
      </c>
      <c r="D415" s="380" t="n"/>
      <c r="E415" s="381">
        <f>IF(D415="","",IFERROR(INDEX('Entrada de Dados'!$B$6:$B$196,MATCH(D415,'Entrada de Dados'!$A$6:$A$196,0)),"CÓDIGO INVÁLIDO"))</f>
        <v/>
      </c>
      <c r="F415" s="373" t="n"/>
      <c r="G415" s="375" t="n"/>
      <c r="H415" s="375" t="n"/>
      <c r="I415" s="376">
        <f>IF(G415="",0,MAX(G415-H415,0))</f>
        <v/>
      </c>
      <c r="J415" s="380" t="n"/>
      <c r="K415" s="162">
        <f>IF(AND(A415="",D415="",G415="",H415=""),"",IF(AND(OR(A415&lt;&gt;"",D415&lt;&gt;""),G415=""),"⏳ PENDENTE (falta qtd. apresentada)",IF(AND(G415&lt;&gt;"",OR(A415="",D415="")),"❌ FALTA Nº RECEBIMENTO/ESCOLA",IF(B415="Nº INVÁLIDO","❌ Nº DE RECEBIMENTO INVÁLIDO",IF(E415="CÓDIGO INVÁLIDO","❌ CÓDIGO DE ESCOLA INVÁLIDO",IF(H415&gt;G415,"❌ REJEITADO MAIOR QUE APRESENTADO",IF(AND(A415&lt;&gt;"",SUMIF($A$60:$A$559,A415,$G$60:$G$559)&gt;INDEX($G$7:$G$56,MATCH(A415,$A$7:$A$56,0))+0.01),"❌ DISTRIBUÍDO MAIS QUE O ACEITO NESSE RECEBIMENTO","OK")))))))</f>
        <v/>
      </c>
      <c r="L415" s="389">
        <f>IF(A415="","",ROW()-59)</f>
        <v/>
      </c>
    </row>
    <row r="416" hidden="1" outlineLevel="1" s="163">
      <c r="A416" s="380" t="n"/>
      <c r="B416" s="372">
        <f>IF(A416="","",IFERROR(INDEX($C$7:$C$56,MATCH(A416,$A$7:$A$56,0)),"Nº INVÁLIDO"))</f>
        <v/>
      </c>
      <c r="C416" s="372">
        <f>IF(A416="","",IFERROR(INDEX($D$7:$D$56,MATCH(A416,$A$7:$A$56,0)),"Nº INVÁLIDO"))</f>
        <v/>
      </c>
      <c r="D416" s="380" t="n"/>
      <c r="E416" s="381">
        <f>IF(D416="","",IFERROR(INDEX('Entrada de Dados'!$B$6:$B$196,MATCH(D416,'Entrada de Dados'!$A$6:$A$196,0)),"CÓDIGO INVÁLIDO"))</f>
        <v/>
      </c>
      <c r="F416" s="373" t="n"/>
      <c r="G416" s="375" t="n"/>
      <c r="H416" s="375" t="n"/>
      <c r="I416" s="376">
        <f>IF(G416="",0,MAX(G416-H416,0))</f>
        <v/>
      </c>
      <c r="J416" s="380" t="n"/>
      <c r="K416" s="162">
        <f>IF(AND(A416="",D416="",G416="",H416=""),"",IF(AND(OR(A416&lt;&gt;"",D416&lt;&gt;""),G416=""),"⏳ PENDENTE (falta qtd. apresentada)",IF(AND(G416&lt;&gt;"",OR(A416="",D416="")),"❌ FALTA Nº RECEBIMENTO/ESCOLA",IF(B416="Nº INVÁLIDO","❌ Nº DE RECEBIMENTO INVÁLIDO",IF(E416="CÓDIGO INVÁLIDO","❌ CÓDIGO DE ESCOLA INVÁLIDO",IF(H416&gt;G416,"❌ REJEITADO MAIOR QUE APRESENTADO",IF(AND(A416&lt;&gt;"",SUMIF($A$60:$A$559,A416,$G$60:$G$559)&gt;INDEX($G$7:$G$56,MATCH(A416,$A$7:$A$56,0))+0.01),"❌ DISTRIBUÍDO MAIS QUE O ACEITO NESSE RECEBIMENTO","OK")))))))</f>
        <v/>
      </c>
      <c r="L416" s="389">
        <f>IF(A416="","",ROW()-59)</f>
        <v/>
      </c>
    </row>
    <row r="417" hidden="1" outlineLevel="1" s="163">
      <c r="A417" s="380" t="n"/>
      <c r="B417" s="372">
        <f>IF(A417="","",IFERROR(INDEX($C$7:$C$56,MATCH(A417,$A$7:$A$56,0)),"Nº INVÁLIDO"))</f>
        <v/>
      </c>
      <c r="C417" s="372">
        <f>IF(A417="","",IFERROR(INDEX($D$7:$D$56,MATCH(A417,$A$7:$A$56,0)),"Nº INVÁLIDO"))</f>
        <v/>
      </c>
      <c r="D417" s="380" t="n"/>
      <c r="E417" s="381">
        <f>IF(D417="","",IFERROR(INDEX('Entrada de Dados'!$B$6:$B$196,MATCH(D417,'Entrada de Dados'!$A$6:$A$196,0)),"CÓDIGO INVÁLIDO"))</f>
        <v/>
      </c>
      <c r="F417" s="373" t="n"/>
      <c r="G417" s="375" t="n"/>
      <c r="H417" s="375" t="n"/>
      <c r="I417" s="376">
        <f>IF(G417="",0,MAX(G417-H417,0))</f>
        <v/>
      </c>
      <c r="J417" s="380" t="n"/>
      <c r="K417" s="162">
        <f>IF(AND(A417="",D417="",G417="",H417=""),"",IF(AND(OR(A417&lt;&gt;"",D417&lt;&gt;""),G417=""),"⏳ PENDENTE (falta qtd. apresentada)",IF(AND(G417&lt;&gt;"",OR(A417="",D417="")),"❌ FALTA Nº RECEBIMENTO/ESCOLA",IF(B417="Nº INVÁLIDO","❌ Nº DE RECEBIMENTO INVÁLIDO",IF(E417="CÓDIGO INVÁLIDO","❌ CÓDIGO DE ESCOLA INVÁLIDO",IF(H417&gt;G417,"❌ REJEITADO MAIOR QUE APRESENTADO",IF(AND(A417&lt;&gt;"",SUMIF($A$60:$A$559,A417,$G$60:$G$559)&gt;INDEX($G$7:$G$56,MATCH(A417,$A$7:$A$56,0))+0.01),"❌ DISTRIBUÍDO MAIS QUE O ACEITO NESSE RECEBIMENTO","OK")))))))</f>
        <v/>
      </c>
      <c r="L417" s="389">
        <f>IF(A417="","",ROW()-59)</f>
        <v/>
      </c>
    </row>
    <row r="418" hidden="1" outlineLevel="1" s="163">
      <c r="A418" s="380" t="n"/>
      <c r="B418" s="372">
        <f>IF(A418="","",IFERROR(INDEX($C$7:$C$56,MATCH(A418,$A$7:$A$56,0)),"Nº INVÁLIDO"))</f>
        <v/>
      </c>
      <c r="C418" s="372">
        <f>IF(A418="","",IFERROR(INDEX($D$7:$D$56,MATCH(A418,$A$7:$A$56,0)),"Nº INVÁLIDO"))</f>
        <v/>
      </c>
      <c r="D418" s="380" t="n"/>
      <c r="E418" s="381">
        <f>IF(D418="","",IFERROR(INDEX('Entrada de Dados'!$B$6:$B$196,MATCH(D418,'Entrada de Dados'!$A$6:$A$196,0)),"CÓDIGO INVÁLIDO"))</f>
        <v/>
      </c>
      <c r="F418" s="373" t="n"/>
      <c r="G418" s="375" t="n"/>
      <c r="H418" s="375" t="n"/>
      <c r="I418" s="376">
        <f>IF(G418="",0,MAX(G418-H418,0))</f>
        <v/>
      </c>
      <c r="J418" s="380" t="n"/>
      <c r="K418" s="162">
        <f>IF(AND(A418="",D418="",G418="",H418=""),"",IF(AND(OR(A418&lt;&gt;"",D418&lt;&gt;""),G418=""),"⏳ PENDENTE (falta qtd. apresentada)",IF(AND(G418&lt;&gt;"",OR(A418="",D418="")),"❌ FALTA Nº RECEBIMENTO/ESCOLA",IF(B418="Nº INVÁLIDO","❌ Nº DE RECEBIMENTO INVÁLIDO",IF(E418="CÓDIGO INVÁLIDO","❌ CÓDIGO DE ESCOLA INVÁLIDO",IF(H418&gt;G418,"❌ REJEITADO MAIOR QUE APRESENTADO",IF(AND(A418&lt;&gt;"",SUMIF($A$60:$A$559,A418,$G$60:$G$559)&gt;INDEX($G$7:$G$56,MATCH(A418,$A$7:$A$56,0))+0.01),"❌ DISTRIBUÍDO MAIS QUE O ACEITO NESSE RECEBIMENTO","OK")))))))</f>
        <v/>
      </c>
      <c r="L418" s="389">
        <f>IF(A418="","",ROW()-59)</f>
        <v/>
      </c>
    </row>
    <row r="419" hidden="1" outlineLevel="1" s="163">
      <c r="A419" s="380" t="n"/>
      <c r="B419" s="372">
        <f>IF(A419="","",IFERROR(INDEX($C$7:$C$56,MATCH(A419,$A$7:$A$56,0)),"Nº INVÁLIDO"))</f>
        <v/>
      </c>
      <c r="C419" s="372">
        <f>IF(A419="","",IFERROR(INDEX($D$7:$D$56,MATCH(A419,$A$7:$A$56,0)),"Nº INVÁLIDO"))</f>
        <v/>
      </c>
      <c r="D419" s="380" t="n"/>
      <c r="E419" s="381">
        <f>IF(D419="","",IFERROR(INDEX('Entrada de Dados'!$B$6:$B$196,MATCH(D419,'Entrada de Dados'!$A$6:$A$196,0)),"CÓDIGO INVÁLIDO"))</f>
        <v/>
      </c>
      <c r="F419" s="373" t="n"/>
      <c r="G419" s="375" t="n"/>
      <c r="H419" s="375" t="n"/>
      <c r="I419" s="376">
        <f>IF(G419="",0,MAX(G419-H419,0))</f>
        <v/>
      </c>
      <c r="J419" s="380" t="n"/>
      <c r="K419" s="162">
        <f>IF(AND(A419="",D419="",G419="",H419=""),"",IF(AND(OR(A419&lt;&gt;"",D419&lt;&gt;""),G419=""),"⏳ PENDENTE (falta qtd. apresentada)",IF(AND(G419&lt;&gt;"",OR(A419="",D419="")),"❌ FALTA Nº RECEBIMENTO/ESCOLA",IF(B419="Nº INVÁLIDO","❌ Nº DE RECEBIMENTO INVÁLIDO",IF(E419="CÓDIGO INVÁLIDO","❌ CÓDIGO DE ESCOLA INVÁLIDO",IF(H419&gt;G419,"❌ REJEITADO MAIOR QUE APRESENTADO",IF(AND(A419&lt;&gt;"",SUMIF($A$60:$A$559,A419,$G$60:$G$559)&gt;INDEX($G$7:$G$56,MATCH(A419,$A$7:$A$56,0))+0.01),"❌ DISTRIBUÍDO MAIS QUE O ACEITO NESSE RECEBIMENTO","OK")))))))</f>
        <v/>
      </c>
      <c r="L419" s="389">
        <f>IF(A419="","",ROW()-59)</f>
        <v/>
      </c>
    </row>
    <row r="420" hidden="1" outlineLevel="1" s="163">
      <c r="A420" s="380" t="n"/>
      <c r="B420" s="372">
        <f>IF(A420="","",IFERROR(INDEX($C$7:$C$56,MATCH(A420,$A$7:$A$56,0)),"Nº INVÁLIDO"))</f>
        <v/>
      </c>
      <c r="C420" s="372">
        <f>IF(A420="","",IFERROR(INDEX($D$7:$D$56,MATCH(A420,$A$7:$A$56,0)),"Nº INVÁLIDO"))</f>
        <v/>
      </c>
      <c r="D420" s="380" t="n"/>
      <c r="E420" s="381">
        <f>IF(D420="","",IFERROR(INDEX('Entrada de Dados'!$B$6:$B$196,MATCH(D420,'Entrada de Dados'!$A$6:$A$196,0)),"CÓDIGO INVÁLIDO"))</f>
        <v/>
      </c>
      <c r="F420" s="373" t="n"/>
      <c r="G420" s="375" t="n"/>
      <c r="H420" s="375" t="n"/>
      <c r="I420" s="376">
        <f>IF(G420="",0,MAX(G420-H420,0))</f>
        <v/>
      </c>
      <c r="J420" s="380" t="n"/>
      <c r="K420" s="162">
        <f>IF(AND(A420="",D420="",G420="",H420=""),"",IF(AND(OR(A420&lt;&gt;"",D420&lt;&gt;""),G420=""),"⏳ PENDENTE (falta qtd. apresentada)",IF(AND(G420&lt;&gt;"",OR(A420="",D420="")),"❌ FALTA Nº RECEBIMENTO/ESCOLA",IF(B420="Nº INVÁLIDO","❌ Nº DE RECEBIMENTO INVÁLIDO",IF(E420="CÓDIGO INVÁLIDO","❌ CÓDIGO DE ESCOLA INVÁLIDO",IF(H420&gt;G420,"❌ REJEITADO MAIOR QUE APRESENTADO",IF(AND(A420&lt;&gt;"",SUMIF($A$60:$A$559,A420,$G$60:$G$559)&gt;INDEX($G$7:$G$56,MATCH(A420,$A$7:$A$56,0))+0.01),"❌ DISTRIBUÍDO MAIS QUE O ACEITO NESSE RECEBIMENTO","OK")))))))</f>
        <v/>
      </c>
      <c r="L420" s="389">
        <f>IF(A420="","",ROW()-59)</f>
        <v/>
      </c>
    </row>
    <row r="421" hidden="1" outlineLevel="1" s="163">
      <c r="A421" s="380" t="n"/>
      <c r="B421" s="372">
        <f>IF(A421="","",IFERROR(INDEX($C$7:$C$56,MATCH(A421,$A$7:$A$56,0)),"Nº INVÁLIDO"))</f>
        <v/>
      </c>
      <c r="C421" s="372">
        <f>IF(A421="","",IFERROR(INDEX($D$7:$D$56,MATCH(A421,$A$7:$A$56,0)),"Nº INVÁLIDO"))</f>
        <v/>
      </c>
      <c r="D421" s="380" t="n"/>
      <c r="E421" s="381">
        <f>IF(D421="","",IFERROR(INDEX('Entrada de Dados'!$B$6:$B$196,MATCH(D421,'Entrada de Dados'!$A$6:$A$196,0)),"CÓDIGO INVÁLIDO"))</f>
        <v/>
      </c>
      <c r="F421" s="373" t="n"/>
      <c r="G421" s="375" t="n"/>
      <c r="H421" s="375" t="n"/>
      <c r="I421" s="376">
        <f>IF(G421="",0,MAX(G421-H421,0))</f>
        <v/>
      </c>
      <c r="J421" s="380" t="n"/>
      <c r="K421" s="162">
        <f>IF(AND(A421="",D421="",G421="",H421=""),"",IF(AND(OR(A421&lt;&gt;"",D421&lt;&gt;""),G421=""),"⏳ PENDENTE (falta qtd. apresentada)",IF(AND(G421&lt;&gt;"",OR(A421="",D421="")),"❌ FALTA Nº RECEBIMENTO/ESCOLA",IF(B421="Nº INVÁLIDO","❌ Nº DE RECEBIMENTO INVÁLIDO",IF(E421="CÓDIGO INVÁLIDO","❌ CÓDIGO DE ESCOLA INVÁLIDO",IF(H421&gt;G421,"❌ REJEITADO MAIOR QUE APRESENTADO",IF(AND(A421&lt;&gt;"",SUMIF($A$60:$A$559,A421,$G$60:$G$559)&gt;INDEX($G$7:$G$56,MATCH(A421,$A$7:$A$56,0))+0.01),"❌ DISTRIBUÍDO MAIS QUE O ACEITO NESSE RECEBIMENTO","OK")))))))</f>
        <v/>
      </c>
      <c r="L421" s="389">
        <f>IF(A421="","",ROW()-59)</f>
        <v/>
      </c>
    </row>
    <row r="422" hidden="1" outlineLevel="1" s="163">
      <c r="A422" s="380" t="n"/>
      <c r="B422" s="372">
        <f>IF(A422="","",IFERROR(INDEX($C$7:$C$56,MATCH(A422,$A$7:$A$56,0)),"Nº INVÁLIDO"))</f>
        <v/>
      </c>
      <c r="C422" s="372">
        <f>IF(A422="","",IFERROR(INDEX($D$7:$D$56,MATCH(A422,$A$7:$A$56,0)),"Nº INVÁLIDO"))</f>
        <v/>
      </c>
      <c r="D422" s="380" t="n"/>
      <c r="E422" s="381">
        <f>IF(D422="","",IFERROR(INDEX('Entrada de Dados'!$B$6:$B$196,MATCH(D422,'Entrada de Dados'!$A$6:$A$196,0)),"CÓDIGO INVÁLIDO"))</f>
        <v/>
      </c>
      <c r="F422" s="373" t="n"/>
      <c r="G422" s="375" t="n"/>
      <c r="H422" s="375" t="n"/>
      <c r="I422" s="376">
        <f>IF(G422="",0,MAX(G422-H422,0))</f>
        <v/>
      </c>
      <c r="J422" s="380" t="n"/>
      <c r="K422" s="162">
        <f>IF(AND(A422="",D422="",G422="",H422=""),"",IF(AND(OR(A422&lt;&gt;"",D422&lt;&gt;""),G422=""),"⏳ PENDENTE (falta qtd. apresentada)",IF(AND(G422&lt;&gt;"",OR(A422="",D422="")),"❌ FALTA Nº RECEBIMENTO/ESCOLA",IF(B422="Nº INVÁLIDO","❌ Nº DE RECEBIMENTO INVÁLIDO",IF(E422="CÓDIGO INVÁLIDO","❌ CÓDIGO DE ESCOLA INVÁLIDO",IF(H422&gt;G422,"❌ REJEITADO MAIOR QUE APRESENTADO",IF(AND(A422&lt;&gt;"",SUMIF($A$60:$A$559,A422,$G$60:$G$559)&gt;INDEX($G$7:$G$56,MATCH(A422,$A$7:$A$56,0))+0.01),"❌ DISTRIBUÍDO MAIS QUE O ACEITO NESSE RECEBIMENTO","OK")))))))</f>
        <v/>
      </c>
      <c r="L422" s="389">
        <f>IF(A422="","",ROW()-59)</f>
        <v/>
      </c>
    </row>
    <row r="423" hidden="1" outlineLevel="1" s="163">
      <c r="A423" s="380" t="n"/>
      <c r="B423" s="372">
        <f>IF(A423="","",IFERROR(INDEX($C$7:$C$56,MATCH(A423,$A$7:$A$56,0)),"Nº INVÁLIDO"))</f>
        <v/>
      </c>
      <c r="C423" s="372">
        <f>IF(A423="","",IFERROR(INDEX($D$7:$D$56,MATCH(A423,$A$7:$A$56,0)),"Nº INVÁLIDO"))</f>
        <v/>
      </c>
      <c r="D423" s="380" t="n"/>
      <c r="E423" s="381">
        <f>IF(D423="","",IFERROR(INDEX('Entrada de Dados'!$B$6:$B$196,MATCH(D423,'Entrada de Dados'!$A$6:$A$196,0)),"CÓDIGO INVÁLIDO"))</f>
        <v/>
      </c>
      <c r="F423" s="373" t="n"/>
      <c r="G423" s="375" t="n"/>
      <c r="H423" s="375" t="n"/>
      <c r="I423" s="376">
        <f>IF(G423="",0,MAX(G423-H423,0))</f>
        <v/>
      </c>
      <c r="J423" s="380" t="n"/>
      <c r="K423" s="162">
        <f>IF(AND(A423="",D423="",G423="",H423=""),"",IF(AND(OR(A423&lt;&gt;"",D423&lt;&gt;""),G423=""),"⏳ PENDENTE (falta qtd. apresentada)",IF(AND(G423&lt;&gt;"",OR(A423="",D423="")),"❌ FALTA Nº RECEBIMENTO/ESCOLA",IF(B423="Nº INVÁLIDO","❌ Nº DE RECEBIMENTO INVÁLIDO",IF(E423="CÓDIGO INVÁLIDO","❌ CÓDIGO DE ESCOLA INVÁLIDO",IF(H423&gt;G423,"❌ REJEITADO MAIOR QUE APRESENTADO",IF(AND(A423&lt;&gt;"",SUMIF($A$60:$A$559,A423,$G$60:$G$559)&gt;INDEX($G$7:$G$56,MATCH(A423,$A$7:$A$56,0))+0.01),"❌ DISTRIBUÍDO MAIS QUE O ACEITO NESSE RECEBIMENTO","OK")))))))</f>
        <v/>
      </c>
      <c r="L423" s="389">
        <f>IF(A423="","",ROW()-59)</f>
        <v/>
      </c>
    </row>
    <row r="424" hidden="1" outlineLevel="1" s="163">
      <c r="A424" s="380" t="n"/>
      <c r="B424" s="372">
        <f>IF(A424="","",IFERROR(INDEX($C$7:$C$56,MATCH(A424,$A$7:$A$56,0)),"Nº INVÁLIDO"))</f>
        <v/>
      </c>
      <c r="C424" s="372">
        <f>IF(A424="","",IFERROR(INDEX($D$7:$D$56,MATCH(A424,$A$7:$A$56,0)),"Nº INVÁLIDO"))</f>
        <v/>
      </c>
      <c r="D424" s="380" t="n"/>
      <c r="E424" s="381">
        <f>IF(D424="","",IFERROR(INDEX('Entrada de Dados'!$B$6:$B$196,MATCH(D424,'Entrada de Dados'!$A$6:$A$196,0)),"CÓDIGO INVÁLIDO"))</f>
        <v/>
      </c>
      <c r="F424" s="373" t="n"/>
      <c r="G424" s="375" t="n"/>
      <c r="H424" s="375" t="n"/>
      <c r="I424" s="376">
        <f>IF(G424="",0,MAX(G424-H424,0))</f>
        <v/>
      </c>
      <c r="J424" s="380" t="n"/>
      <c r="K424" s="162">
        <f>IF(AND(A424="",D424="",G424="",H424=""),"",IF(AND(OR(A424&lt;&gt;"",D424&lt;&gt;""),G424=""),"⏳ PENDENTE (falta qtd. apresentada)",IF(AND(G424&lt;&gt;"",OR(A424="",D424="")),"❌ FALTA Nº RECEBIMENTO/ESCOLA",IF(B424="Nº INVÁLIDO","❌ Nº DE RECEBIMENTO INVÁLIDO",IF(E424="CÓDIGO INVÁLIDO","❌ CÓDIGO DE ESCOLA INVÁLIDO",IF(H424&gt;G424,"❌ REJEITADO MAIOR QUE APRESENTADO",IF(AND(A424&lt;&gt;"",SUMIF($A$60:$A$559,A424,$G$60:$G$559)&gt;INDEX($G$7:$G$56,MATCH(A424,$A$7:$A$56,0))+0.01),"❌ DISTRIBUÍDO MAIS QUE O ACEITO NESSE RECEBIMENTO","OK")))))))</f>
        <v/>
      </c>
      <c r="L424" s="389">
        <f>IF(A424="","",ROW()-59)</f>
        <v/>
      </c>
    </row>
    <row r="425" hidden="1" outlineLevel="1" s="163">
      <c r="A425" s="380" t="n"/>
      <c r="B425" s="372">
        <f>IF(A425="","",IFERROR(INDEX($C$7:$C$56,MATCH(A425,$A$7:$A$56,0)),"Nº INVÁLIDO"))</f>
        <v/>
      </c>
      <c r="C425" s="372">
        <f>IF(A425="","",IFERROR(INDEX($D$7:$D$56,MATCH(A425,$A$7:$A$56,0)),"Nº INVÁLIDO"))</f>
        <v/>
      </c>
      <c r="D425" s="380" t="n"/>
      <c r="E425" s="381">
        <f>IF(D425="","",IFERROR(INDEX('Entrada de Dados'!$B$6:$B$196,MATCH(D425,'Entrada de Dados'!$A$6:$A$196,0)),"CÓDIGO INVÁLIDO"))</f>
        <v/>
      </c>
      <c r="F425" s="373" t="n"/>
      <c r="G425" s="375" t="n"/>
      <c r="H425" s="375" t="n"/>
      <c r="I425" s="376">
        <f>IF(G425="",0,MAX(G425-H425,0))</f>
        <v/>
      </c>
      <c r="J425" s="380" t="n"/>
      <c r="K425" s="162">
        <f>IF(AND(A425="",D425="",G425="",H425=""),"",IF(AND(OR(A425&lt;&gt;"",D425&lt;&gt;""),G425=""),"⏳ PENDENTE (falta qtd. apresentada)",IF(AND(G425&lt;&gt;"",OR(A425="",D425="")),"❌ FALTA Nº RECEBIMENTO/ESCOLA",IF(B425="Nº INVÁLIDO","❌ Nº DE RECEBIMENTO INVÁLIDO",IF(E425="CÓDIGO INVÁLIDO","❌ CÓDIGO DE ESCOLA INVÁLIDO",IF(H425&gt;G425,"❌ REJEITADO MAIOR QUE APRESENTADO",IF(AND(A425&lt;&gt;"",SUMIF($A$60:$A$559,A425,$G$60:$G$559)&gt;INDEX($G$7:$G$56,MATCH(A425,$A$7:$A$56,0))+0.01),"❌ DISTRIBUÍDO MAIS QUE O ACEITO NESSE RECEBIMENTO","OK")))))))</f>
        <v/>
      </c>
      <c r="L425" s="389">
        <f>IF(A425="","",ROW()-59)</f>
        <v/>
      </c>
    </row>
    <row r="426" hidden="1" outlineLevel="1" s="163">
      <c r="A426" s="380" t="n"/>
      <c r="B426" s="372">
        <f>IF(A426="","",IFERROR(INDEX($C$7:$C$56,MATCH(A426,$A$7:$A$56,0)),"Nº INVÁLIDO"))</f>
        <v/>
      </c>
      <c r="C426" s="372">
        <f>IF(A426="","",IFERROR(INDEX($D$7:$D$56,MATCH(A426,$A$7:$A$56,0)),"Nº INVÁLIDO"))</f>
        <v/>
      </c>
      <c r="D426" s="380" t="n"/>
      <c r="E426" s="381">
        <f>IF(D426="","",IFERROR(INDEX('Entrada de Dados'!$B$6:$B$196,MATCH(D426,'Entrada de Dados'!$A$6:$A$196,0)),"CÓDIGO INVÁLIDO"))</f>
        <v/>
      </c>
      <c r="F426" s="373" t="n"/>
      <c r="G426" s="375" t="n"/>
      <c r="H426" s="375" t="n"/>
      <c r="I426" s="376">
        <f>IF(G426="",0,MAX(G426-H426,0))</f>
        <v/>
      </c>
      <c r="J426" s="380" t="n"/>
      <c r="K426" s="162">
        <f>IF(AND(A426="",D426="",G426="",H426=""),"",IF(AND(OR(A426&lt;&gt;"",D426&lt;&gt;""),G426=""),"⏳ PENDENTE (falta qtd. apresentada)",IF(AND(G426&lt;&gt;"",OR(A426="",D426="")),"❌ FALTA Nº RECEBIMENTO/ESCOLA",IF(B426="Nº INVÁLIDO","❌ Nº DE RECEBIMENTO INVÁLIDO",IF(E426="CÓDIGO INVÁLIDO","❌ CÓDIGO DE ESCOLA INVÁLIDO",IF(H426&gt;G426,"❌ REJEITADO MAIOR QUE APRESENTADO",IF(AND(A426&lt;&gt;"",SUMIF($A$60:$A$559,A426,$G$60:$G$559)&gt;INDEX($G$7:$G$56,MATCH(A426,$A$7:$A$56,0))+0.01),"❌ DISTRIBUÍDO MAIS QUE O ACEITO NESSE RECEBIMENTO","OK")))))))</f>
        <v/>
      </c>
      <c r="L426" s="389">
        <f>IF(A426="","",ROW()-59)</f>
        <v/>
      </c>
    </row>
    <row r="427" hidden="1" outlineLevel="1" s="163">
      <c r="A427" s="380" t="n"/>
      <c r="B427" s="372">
        <f>IF(A427="","",IFERROR(INDEX($C$7:$C$56,MATCH(A427,$A$7:$A$56,0)),"Nº INVÁLIDO"))</f>
        <v/>
      </c>
      <c r="C427" s="372">
        <f>IF(A427="","",IFERROR(INDEX($D$7:$D$56,MATCH(A427,$A$7:$A$56,0)),"Nº INVÁLIDO"))</f>
        <v/>
      </c>
      <c r="D427" s="380" t="n"/>
      <c r="E427" s="381">
        <f>IF(D427="","",IFERROR(INDEX('Entrada de Dados'!$B$6:$B$196,MATCH(D427,'Entrada de Dados'!$A$6:$A$196,0)),"CÓDIGO INVÁLIDO"))</f>
        <v/>
      </c>
      <c r="F427" s="373" t="n"/>
      <c r="G427" s="375" t="n"/>
      <c r="H427" s="375" t="n"/>
      <c r="I427" s="376">
        <f>IF(G427="",0,MAX(G427-H427,0))</f>
        <v/>
      </c>
      <c r="J427" s="380" t="n"/>
      <c r="K427" s="162">
        <f>IF(AND(A427="",D427="",G427="",H427=""),"",IF(AND(OR(A427&lt;&gt;"",D427&lt;&gt;""),G427=""),"⏳ PENDENTE (falta qtd. apresentada)",IF(AND(G427&lt;&gt;"",OR(A427="",D427="")),"❌ FALTA Nº RECEBIMENTO/ESCOLA",IF(B427="Nº INVÁLIDO","❌ Nº DE RECEBIMENTO INVÁLIDO",IF(E427="CÓDIGO INVÁLIDO","❌ CÓDIGO DE ESCOLA INVÁLIDO",IF(H427&gt;G427,"❌ REJEITADO MAIOR QUE APRESENTADO",IF(AND(A427&lt;&gt;"",SUMIF($A$60:$A$559,A427,$G$60:$G$559)&gt;INDEX($G$7:$G$56,MATCH(A427,$A$7:$A$56,0))+0.01),"❌ DISTRIBUÍDO MAIS QUE O ACEITO NESSE RECEBIMENTO","OK")))))))</f>
        <v/>
      </c>
      <c r="L427" s="389">
        <f>IF(A427="","",ROW()-59)</f>
        <v/>
      </c>
    </row>
    <row r="428" hidden="1" outlineLevel="1" s="163">
      <c r="A428" s="380" t="n"/>
      <c r="B428" s="372">
        <f>IF(A428="","",IFERROR(INDEX($C$7:$C$56,MATCH(A428,$A$7:$A$56,0)),"Nº INVÁLIDO"))</f>
        <v/>
      </c>
      <c r="C428" s="372">
        <f>IF(A428="","",IFERROR(INDEX($D$7:$D$56,MATCH(A428,$A$7:$A$56,0)),"Nº INVÁLIDO"))</f>
        <v/>
      </c>
      <c r="D428" s="380" t="n"/>
      <c r="E428" s="381">
        <f>IF(D428="","",IFERROR(INDEX('Entrada de Dados'!$B$6:$B$196,MATCH(D428,'Entrada de Dados'!$A$6:$A$196,0)),"CÓDIGO INVÁLIDO"))</f>
        <v/>
      </c>
      <c r="F428" s="373" t="n"/>
      <c r="G428" s="375" t="n"/>
      <c r="H428" s="375" t="n"/>
      <c r="I428" s="376">
        <f>IF(G428="",0,MAX(G428-H428,0))</f>
        <v/>
      </c>
      <c r="J428" s="380" t="n"/>
      <c r="K428" s="162">
        <f>IF(AND(A428="",D428="",G428="",H428=""),"",IF(AND(OR(A428&lt;&gt;"",D428&lt;&gt;""),G428=""),"⏳ PENDENTE (falta qtd. apresentada)",IF(AND(G428&lt;&gt;"",OR(A428="",D428="")),"❌ FALTA Nº RECEBIMENTO/ESCOLA",IF(B428="Nº INVÁLIDO","❌ Nº DE RECEBIMENTO INVÁLIDO",IF(E428="CÓDIGO INVÁLIDO","❌ CÓDIGO DE ESCOLA INVÁLIDO",IF(H428&gt;G428,"❌ REJEITADO MAIOR QUE APRESENTADO",IF(AND(A428&lt;&gt;"",SUMIF($A$60:$A$559,A428,$G$60:$G$559)&gt;INDEX($G$7:$G$56,MATCH(A428,$A$7:$A$56,0))+0.01),"❌ DISTRIBUÍDO MAIS QUE O ACEITO NESSE RECEBIMENTO","OK")))))))</f>
        <v/>
      </c>
      <c r="L428" s="389">
        <f>IF(A428="","",ROW()-59)</f>
        <v/>
      </c>
    </row>
    <row r="429" hidden="1" outlineLevel="1" s="163">
      <c r="A429" s="380" t="n"/>
      <c r="B429" s="372">
        <f>IF(A429="","",IFERROR(INDEX($C$7:$C$56,MATCH(A429,$A$7:$A$56,0)),"Nº INVÁLIDO"))</f>
        <v/>
      </c>
      <c r="C429" s="372">
        <f>IF(A429="","",IFERROR(INDEX($D$7:$D$56,MATCH(A429,$A$7:$A$56,0)),"Nº INVÁLIDO"))</f>
        <v/>
      </c>
      <c r="D429" s="380" t="n"/>
      <c r="E429" s="381">
        <f>IF(D429="","",IFERROR(INDEX('Entrada de Dados'!$B$6:$B$196,MATCH(D429,'Entrada de Dados'!$A$6:$A$196,0)),"CÓDIGO INVÁLIDO"))</f>
        <v/>
      </c>
      <c r="F429" s="373" t="n"/>
      <c r="G429" s="375" t="n"/>
      <c r="H429" s="375" t="n"/>
      <c r="I429" s="376">
        <f>IF(G429="",0,MAX(G429-H429,0))</f>
        <v/>
      </c>
      <c r="J429" s="380" t="n"/>
      <c r="K429" s="162">
        <f>IF(AND(A429="",D429="",G429="",H429=""),"",IF(AND(OR(A429&lt;&gt;"",D429&lt;&gt;""),G429=""),"⏳ PENDENTE (falta qtd. apresentada)",IF(AND(G429&lt;&gt;"",OR(A429="",D429="")),"❌ FALTA Nº RECEBIMENTO/ESCOLA",IF(B429="Nº INVÁLIDO","❌ Nº DE RECEBIMENTO INVÁLIDO",IF(E429="CÓDIGO INVÁLIDO","❌ CÓDIGO DE ESCOLA INVÁLIDO",IF(H429&gt;G429,"❌ REJEITADO MAIOR QUE APRESENTADO",IF(AND(A429&lt;&gt;"",SUMIF($A$60:$A$559,A429,$G$60:$G$559)&gt;INDEX($G$7:$G$56,MATCH(A429,$A$7:$A$56,0))+0.01),"❌ DISTRIBUÍDO MAIS QUE O ACEITO NESSE RECEBIMENTO","OK")))))))</f>
        <v/>
      </c>
      <c r="L429" s="389">
        <f>IF(A429="","",ROW()-59)</f>
        <v/>
      </c>
    </row>
    <row r="430" hidden="1" outlineLevel="1" s="163">
      <c r="A430" s="380" t="n"/>
      <c r="B430" s="372">
        <f>IF(A430="","",IFERROR(INDEX($C$7:$C$56,MATCH(A430,$A$7:$A$56,0)),"Nº INVÁLIDO"))</f>
        <v/>
      </c>
      <c r="C430" s="372">
        <f>IF(A430="","",IFERROR(INDEX($D$7:$D$56,MATCH(A430,$A$7:$A$56,0)),"Nº INVÁLIDO"))</f>
        <v/>
      </c>
      <c r="D430" s="380" t="n"/>
      <c r="E430" s="381">
        <f>IF(D430="","",IFERROR(INDEX('Entrada de Dados'!$B$6:$B$196,MATCH(D430,'Entrada de Dados'!$A$6:$A$196,0)),"CÓDIGO INVÁLIDO"))</f>
        <v/>
      </c>
      <c r="F430" s="373" t="n"/>
      <c r="G430" s="375" t="n"/>
      <c r="H430" s="375" t="n"/>
      <c r="I430" s="376">
        <f>IF(G430="",0,MAX(G430-H430,0))</f>
        <v/>
      </c>
      <c r="J430" s="380" t="n"/>
      <c r="K430" s="162">
        <f>IF(AND(A430="",D430="",G430="",H430=""),"",IF(AND(OR(A430&lt;&gt;"",D430&lt;&gt;""),G430=""),"⏳ PENDENTE (falta qtd. apresentada)",IF(AND(G430&lt;&gt;"",OR(A430="",D430="")),"❌ FALTA Nº RECEBIMENTO/ESCOLA",IF(B430="Nº INVÁLIDO","❌ Nº DE RECEBIMENTO INVÁLIDO",IF(E430="CÓDIGO INVÁLIDO","❌ CÓDIGO DE ESCOLA INVÁLIDO",IF(H430&gt;G430,"❌ REJEITADO MAIOR QUE APRESENTADO",IF(AND(A430&lt;&gt;"",SUMIF($A$60:$A$559,A430,$G$60:$G$559)&gt;INDEX($G$7:$G$56,MATCH(A430,$A$7:$A$56,0))+0.01),"❌ DISTRIBUÍDO MAIS QUE O ACEITO NESSE RECEBIMENTO","OK")))))))</f>
        <v/>
      </c>
      <c r="L430" s="389">
        <f>IF(A430="","",ROW()-59)</f>
        <v/>
      </c>
    </row>
    <row r="431" hidden="1" outlineLevel="1" s="163">
      <c r="A431" s="380" t="n"/>
      <c r="B431" s="372">
        <f>IF(A431="","",IFERROR(INDEX($C$7:$C$56,MATCH(A431,$A$7:$A$56,0)),"Nº INVÁLIDO"))</f>
        <v/>
      </c>
      <c r="C431" s="372">
        <f>IF(A431="","",IFERROR(INDEX($D$7:$D$56,MATCH(A431,$A$7:$A$56,0)),"Nº INVÁLIDO"))</f>
        <v/>
      </c>
      <c r="D431" s="380" t="n"/>
      <c r="E431" s="381">
        <f>IF(D431="","",IFERROR(INDEX('Entrada de Dados'!$B$6:$B$196,MATCH(D431,'Entrada de Dados'!$A$6:$A$196,0)),"CÓDIGO INVÁLIDO"))</f>
        <v/>
      </c>
      <c r="F431" s="373" t="n"/>
      <c r="G431" s="375" t="n"/>
      <c r="H431" s="375" t="n"/>
      <c r="I431" s="376">
        <f>IF(G431="",0,MAX(G431-H431,0))</f>
        <v/>
      </c>
      <c r="J431" s="380" t="n"/>
      <c r="K431" s="162">
        <f>IF(AND(A431="",D431="",G431="",H431=""),"",IF(AND(OR(A431&lt;&gt;"",D431&lt;&gt;""),G431=""),"⏳ PENDENTE (falta qtd. apresentada)",IF(AND(G431&lt;&gt;"",OR(A431="",D431="")),"❌ FALTA Nº RECEBIMENTO/ESCOLA",IF(B431="Nº INVÁLIDO","❌ Nº DE RECEBIMENTO INVÁLIDO",IF(E431="CÓDIGO INVÁLIDO","❌ CÓDIGO DE ESCOLA INVÁLIDO",IF(H431&gt;G431,"❌ REJEITADO MAIOR QUE APRESENTADO",IF(AND(A431&lt;&gt;"",SUMIF($A$60:$A$559,A431,$G$60:$G$559)&gt;INDEX($G$7:$G$56,MATCH(A431,$A$7:$A$56,0))+0.01),"❌ DISTRIBUÍDO MAIS QUE O ACEITO NESSE RECEBIMENTO","OK")))))))</f>
        <v/>
      </c>
      <c r="L431" s="389">
        <f>IF(A431="","",ROW()-59)</f>
        <v/>
      </c>
    </row>
    <row r="432" hidden="1" outlineLevel="1" s="163">
      <c r="A432" s="380" t="n"/>
      <c r="B432" s="372">
        <f>IF(A432="","",IFERROR(INDEX($C$7:$C$56,MATCH(A432,$A$7:$A$56,0)),"Nº INVÁLIDO"))</f>
        <v/>
      </c>
      <c r="C432" s="372">
        <f>IF(A432="","",IFERROR(INDEX($D$7:$D$56,MATCH(A432,$A$7:$A$56,0)),"Nº INVÁLIDO"))</f>
        <v/>
      </c>
      <c r="D432" s="380" t="n"/>
      <c r="E432" s="381">
        <f>IF(D432="","",IFERROR(INDEX('Entrada de Dados'!$B$6:$B$196,MATCH(D432,'Entrada de Dados'!$A$6:$A$196,0)),"CÓDIGO INVÁLIDO"))</f>
        <v/>
      </c>
      <c r="F432" s="373" t="n"/>
      <c r="G432" s="375" t="n"/>
      <c r="H432" s="375" t="n"/>
      <c r="I432" s="376">
        <f>IF(G432="",0,MAX(G432-H432,0))</f>
        <v/>
      </c>
      <c r="J432" s="380" t="n"/>
      <c r="K432" s="162">
        <f>IF(AND(A432="",D432="",G432="",H432=""),"",IF(AND(OR(A432&lt;&gt;"",D432&lt;&gt;""),G432=""),"⏳ PENDENTE (falta qtd. apresentada)",IF(AND(G432&lt;&gt;"",OR(A432="",D432="")),"❌ FALTA Nº RECEBIMENTO/ESCOLA",IF(B432="Nº INVÁLIDO","❌ Nº DE RECEBIMENTO INVÁLIDO",IF(E432="CÓDIGO INVÁLIDO","❌ CÓDIGO DE ESCOLA INVÁLIDO",IF(H432&gt;G432,"❌ REJEITADO MAIOR QUE APRESENTADO",IF(AND(A432&lt;&gt;"",SUMIF($A$60:$A$559,A432,$G$60:$G$559)&gt;INDEX($G$7:$G$56,MATCH(A432,$A$7:$A$56,0))+0.01),"❌ DISTRIBUÍDO MAIS QUE O ACEITO NESSE RECEBIMENTO","OK")))))))</f>
        <v/>
      </c>
      <c r="L432" s="389">
        <f>IF(A432="","",ROW()-59)</f>
        <v/>
      </c>
    </row>
    <row r="433" hidden="1" outlineLevel="1" s="163">
      <c r="A433" s="380" t="n"/>
      <c r="B433" s="372">
        <f>IF(A433="","",IFERROR(INDEX($C$7:$C$56,MATCH(A433,$A$7:$A$56,0)),"Nº INVÁLIDO"))</f>
        <v/>
      </c>
      <c r="C433" s="372">
        <f>IF(A433="","",IFERROR(INDEX($D$7:$D$56,MATCH(A433,$A$7:$A$56,0)),"Nº INVÁLIDO"))</f>
        <v/>
      </c>
      <c r="D433" s="380" t="n"/>
      <c r="E433" s="381">
        <f>IF(D433="","",IFERROR(INDEX('Entrada de Dados'!$B$6:$B$196,MATCH(D433,'Entrada de Dados'!$A$6:$A$196,0)),"CÓDIGO INVÁLIDO"))</f>
        <v/>
      </c>
      <c r="F433" s="373" t="n"/>
      <c r="G433" s="375" t="n"/>
      <c r="H433" s="375" t="n"/>
      <c r="I433" s="376">
        <f>IF(G433="",0,MAX(G433-H433,0))</f>
        <v/>
      </c>
      <c r="J433" s="380" t="n"/>
      <c r="K433" s="162">
        <f>IF(AND(A433="",D433="",G433="",H433=""),"",IF(AND(OR(A433&lt;&gt;"",D433&lt;&gt;""),G433=""),"⏳ PENDENTE (falta qtd. apresentada)",IF(AND(G433&lt;&gt;"",OR(A433="",D433="")),"❌ FALTA Nº RECEBIMENTO/ESCOLA",IF(B433="Nº INVÁLIDO","❌ Nº DE RECEBIMENTO INVÁLIDO",IF(E433="CÓDIGO INVÁLIDO","❌ CÓDIGO DE ESCOLA INVÁLIDO",IF(H433&gt;G433,"❌ REJEITADO MAIOR QUE APRESENTADO",IF(AND(A433&lt;&gt;"",SUMIF($A$60:$A$559,A433,$G$60:$G$559)&gt;INDEX($G$7:$G$56,MATCH(A433,$A$7:$A$56,0))+0.01),"❌ DISTRIBUÍDO MAIS QUE O ACEITO NESSE RECEBIMENTO","OK")))))))</f>
        <v/>
      </c>
      <c r="L433" s="389">
        <f>IF(A433="","",ROW()-59)</f>
        <v/>
      </c>
    </row>
    <row r="434" hidden="1" outlineLevel="1" s="163">
      <c r="A434" s="380" t="n"/>
      <c r="B434" s="372">
        <f>IF(A434="","",IFERROR(INDEX($C$7:$C$56,MATCH(A434,$A$7:$A$56,0)),"Nº INVÁLIDO"))</f>
        <v/>
      </c>
      <c r="C434" s="372">
        <f>IF(A434="","",IFERROR(INDEX($D$7:$D$56,MATCH(A434,$A$7:$A$56,0)),"Nº INVÁLIDO"))</f>
        <v/>
      </c>
      <c r="D434" s="380" t="n"/>
      <c r="E434" s="381">
        <f>IF(D434="","",IFERROR(INDEX('Entrada de Dados'!$B$6:$B$196,MATCH(D434,'Entrada de Dados'!$A$6:$A$196,0)),"CÓDIGO INVÁLIDO"))</f>
        <v/>
      </c>
      <c r="F434" s="373" t="n"/>
      <c r="G434" s="375" t="n"/>
      <c r="H434" s="375" t="n"/>
      <c r="I434" s="376">
        <f>IF(G434="",0,MAX(G434-H434,0))</f>
        <v/>
      </c>
      <c r="J434" s="380" t="n"/>
      <c r="K434" s="162">
        <f>IF(AND(A434="",D434="",G434="",H434=""),"",IF(AND(OR(A434&lt;&gt;"",D434&lt;&gt;""),G434=""),"⏳ PENDENTE (falta qtd. apresentada)",IF(AND(G434&lt;&gt;"",OR(A434="",D434="")),"❌ FALTA Nº RECEBIMENTO/ESCOLA",IF(B434="Nº INVÁLIDO","❌ Nº DE RECEBIMENTO INVÁLIDO",IF(E434="CÓDIGO INVÁLIDO","❌ CÓDIGO DE ESCOLA INVÁLIDO",IF(H434&gt;G434,"❌ REJEITADO MAIOR QUE APRESENTADO",IF(AND(A434&lt;&gt;"",SUMIF($A$60:$A$559,A434,$G$60:$G$559)&gt;INDEX($G$7:$G$56,MATCH(A434,$A$7:$A$56,0))+0.01),"❌ DISTRIBUÍDO MAIS QUE O ACEITO NESSE RECEBIMENTO","OK")))))))</f>
        <v/>
      </c>
      <c r="L434" s="389">
        <f>IF(A434="","",ROW()-59)</f>
        <v/>
      </c>
    </row>
    <row r="435" hidden="1" outlineLevel="1" s="163">
      <c r="A435" s="380" t="n"/>
      <c r="B435" s="372">
        <f>IF(A435="","",IFERROR(INDEX($C$7:$C$56,MATCH(A435,$A$7:$A$56,0)),"Nº INVÁLIDO"))</f>
        <v/>
      </c>
      <c r="C435" s="372">
        <f>IF(A435="","",IFERROR(INDEX($D$7:$D$56,MATCH(A435,$A$7:$A$56,0)),"Nº INVÁLIDO"))</f>
        <v/>
      </c>
      <c r="D435" s="380" t="n"/>
      <c r="E435" s="381">
        <f>IF(D435="","",IFERROR(INDEX('Entrada de Dados'!$B$6:$B$196,MATCH(D435,'Entrada de Dados'!$A$6:$A$196,0)),"CÓDIGO INVÁLIDO"))</f>
        <v/>
      </c>
      <c r="F435" s="373" t="n"/>
      <c r="G435" s="375" t="n"/>
      <c r="H435" s="375" t="n"/>
      <c r="I435" s="376">
        <f>IF(G435="",0,MAX(G435-H435,0))</f>
        <v/>
      </c>
      <c r="J435" s="380" t="n"/>
      <c r="K435" s="162">
        <f>IF(AND(A435="",D435="",G435="",H435=""),"",IF(AND(OR(A435&lt;&gt;"",D435&lt;&gt;""),G435=""),"⏳ PENDENTE (falta qtd. apresentada)",IF(AND(G435&lt;&gt;"",OR(A435="",D435="")),"❌ FALTA Nº RECEBIMENTO/ESCOLA",IF(B435="Nº INVÁLIDO","❌ Nº DE RECEBIMENTO INVÁLIDO",IF(E435="CÓDIGO INVÁLIDO","❌ CÓDIGO DE ESCOLA INVÁLIDO",IF(H435&gt;G435,"❌ REJEITADO MAIOR QUE APRESENTADO",IF(AND(A435&lt;&gt;"",SUMIF($A$60:$A$559,A435,$G$60:$G$559)&gt;INDEX($G$7:$G$56,MATCH(A435,$A$7:$A$56,0))+0.01),"❌ DISTRIBUÍDO MAIS QUE O ACEITO NESSE RECEBIMENTO","OK")))))))</f>
        <v/>
      </c>
      <c r="L435" s="389">
        <f>IF(A435="","",ROW()-59)</f>
        <v/>
      </c>
    </row>
    <row r="436" hidden="1" outlineLevel="1" s="163">
      <c r="A436" s="380" t="n"/>
      <c r="B436" s="372">
        <f>IF(A436="","",IFERROR(INDEX($C$7:$C$56,MATCH(A436,$A$7:$A$56,0)),"Nº INVÁLIDO"))</f>
        <v/>
      </c>
      <c r="C436" s="372">
        <f>IF(A436="","",IFERROR(INDEX($D$7:$D$56,MATCH(A436,$A$7:$A$56,0)),"Nº INVÁLIDO"))</f>
        <v/>
      </c>
      <c r="D436" s="380" t="n"/>
      <c r="E436" s="381">
        <f>IF(D436="","",IFERROR(INDEX('Entrada de Dados'!$B$6:$B$196,MATCH(D436,'Entrada de Dados'!$A$6:$A$196,0)),"CÓDIGO INVÁLIDO"))</f>
        <v/>
      </c>
      <c r="F436" s="373" t="n"/>
      <c r="G436" s="375" t="n"/>
      <c r="H436" s="375" t="n"/>
      <c r="I436" s="376">
        <f>IF(G436="",0,MAX(G436-H436,0))</f>
        <v/>
      </c>
      <c r="J436" s="380" t="n"/>
      <c r="K436" s="162">
        <f>IF(AND(A436="",D436="",G436="",H436=""),"",IF(AND(OR(A436&lt;&gt;"",D436&lt;&gt;""),G436=""),"⏳ PENDENTE (falta qtd. apresentada)",IF(AND(G436&lt;&gt;"",OR(A436="",D436="")),"❌ FALTA Nº RECEBIMENTO/ESCOLA",IF(B436="Nº INVÁLIDO","❌ Nº DE RECEBIMENTO INVÁLIDO",IF(E436="CÓDIGO INVÁLIDO","❌ CÓDIGO DE ESCOLA INVÁLIDO",IF(H436&gt;G436,"❌ REJEITADO MAIOR QUE APRESENTADO",IF(AND(A436&lt;&gt;"",SUMIF($A$60:$A$559,A436,$G$60:$G$559)&gt;INDEX($G$7:$G$56,MATCH(A436,$A$7:$A$56,0))+0.01),"❌ DISTRIBUÍDO MAIS QUE O ACEITO NESSE RECEBIMENTO","OK")))))))</f>
        <v/>
      </c>
      <c r="L436" s="389">
        <f>IF(A436="","",ROW()-59)</f>
        <v/>
      </c>
    </row>
    <row r="437" hidden="1" outlineLevel="1" s="163">
      <c r="A437" s="380" t="n"/>
      <c r="B437" s="372">
        <f>IF(A437="","",IFERROR(INDEX($C$7:$C$56,MATCH(A437,$A$7:$A$56,0)),"Nº INVÁLIDO"))</f>
        <v/>
      </c>
      <c r="C437" s="372">
        <f>IF(A437="","",IFERROR(INDEX($D$7:$D$56,MATCH(A437,$A$7:$A$56,0)),"Nº INVÁLIDO"))</f>
        <v/>
      </c>
      <c r="D437" s="380" t="n"/>
      <c r="E437" s="381">
        <f>IF(D437="","",IFERROR(INDEX('Entrada de Dados'!$B$6:$B$196,MATCH(D437,'Entrada de Dados'!$A$6:$A$196,0)),"CÓDIGO INVÁLIDO"))</f>
        <v/>
      </c>
      <c r="F437" s="373" t="n"/>
      <c r="G437" s="375" t="n"/>
      <c r="H437" s="375" t="n"/>
      <c r="I437" s="376">
        <f>IF(G437="",0,MAX(G437-H437,0))</f>
        <v/>
      </c>
      <c r="J437" s="380" t="n"/>
      <c r="K437" s="162">
        <f>IF(AND(A437="",D437="",G437="",H437=""),"",IF(AND(OR(A437&lt;&gt;"",D437&lt;&gt;""),G437=""),"⏳ PENDENTE (falta qtd. apresentada)",IF(AND(G437&lt;&gt;"",OR(A437="",D437="")),"❌ FALTA Nº RECEBIMENTO/ESCOLA",IF(B437="Nº INVÁLIDO","❌ Nº DE RECEBIMENTO INVÁLIDO",IF(E437="CÓDIGO INVÁLIDO","❌ CÓDIGO DE ESCOLA INVÁLIDO",IF(H437&gt;G437,"❌ REJEITADO MAIOR QUE APRESENTADO",IF(AND(A437&lt;&gt;"",SUMIF($A$60:$A$559,A437,$G$60:$G$559)&gt;INDEX($G$7:$G$56,MATCH(A437,$A$7:$A$56,0))+0.01),"❌ DISTRIBUÍDO MAIS QUE O ACEITO NESSE RECEBIMENTO","OK")))))))</f>
        <v/>
      </c>
      <c r="L437" s="389">
        <f>IF(A437="","",ROW()-59)</f>
        <v/>
      </c>
    </row>
    <row r="438" hidden="1" outlineLevel="1" s="163">
      <c r="A438" s="380" t="n"/>
      <c r="B438" s="372">
        <f>IF(A438="","",IFERROR(INDEX($C$7:$C$56,MATCH(A438,$A$7:$A$56,0)),"Nº INVÁLIDO"))</f>
        <v/>
      </c>
      <c r="C438" s="372">
        <f>IF(A438="","",IFERROR(INDEX($D$7:$D$56,MATCH(A438,$A$7:$A$56,0)),"Nº INVÁLIDO"))</f>
        <v/>
      </c>
      <c r="D438" s="380" t="n"/>
      <c r="E438" s="381">
        <f>IF(D438="","",IFERROR(INDEX('Entrada de Dados'!$B$6:$B$196,MATCH(D438,'Entrada de Dados'!$A$6:$A$196,0)),"CÓDIGO INVÁLIDO"))</f>
        <v/>
      </c>
      <c r="F438" s="373" t="n"/>
      <c r="G438" s="375" t="n"/>
      <c r="H438" s="375" t="n"/>
      <c r="I438" s="376">
        <f>IF(G438="",0,MAX(G438-H438,0))</f>
        <v/>
      </c>
      <c r="J438" s="380" t="n"/>
      <c r="K438" s="162">
        <f>IF(AND(A438="",D438="",G438="",H438=""),"",IF(AND(OR(A438&lt;&gt;"",D438&lt;&gt;""),G438=""),"⏳ PENDENTE (falta qtd. apresentada)",IF(AND(G438&lt;&gt;"",OR(A438="",D438="")),"❌ FALTA Nº RECEBIMENTO/ESCOLA",IF(B438="Nº INVÁLIDO","❌ Nº DE RECEBIMENTO INVÁLIDO",IF(E438="CÓDIGO INVÁLIDO","❌ CÓDIGO DE ESCOLA INVÁLIDO",IF(H438&gt;G438,"❌ REJEITADO MAIOR QUE APRESENTADO",IF(AND(A438&lt;&gt;"",SUMIF($A$60:$A$559,A438,$G$60:$G$559)&gt;INDEX($G$7:$G$56,MATCH(A438,$A$7:$A$56,0))+0.01),"❌ DISTRIBUÍDO MAIS QUE O ACEITO NESSE RECEBIMENTO","OK")))))))</f>
        <v/>
      </c>
      <c r="L438" s="389">
        <f>IF(A438="","",ROW()-59)</f>
        <v/>
      </c>
    </row>
    <row r="439" hidden="1" outlineLevel="1" s="163">
      <c r="A439" s="380" t="n"/>
      <c r="B439" s="372">
        <f>IF(A439="","",IFERROR(INDEX($C$7:$C$56,MATCH(A439,$A$7:$A$56,0)),"Nº INVÁLIDO"))</f>
        <v/>
      </c>
      <c r="C439" s="372">
        <f>IF(A439="","",IFERROR(INDEX($D$7:$D$56,MATCH(A439,$A$7:$A$56,0)),"Nº INVÁLIDO"))</f>
        <v/>
      </c>
      <c r="D439" s="380" t="n"/>
      <c r="E439" s="381">
        <f>IF(D439="","",IFERROR(INDEX('Entrada de Dados'!$B$6:$B$196,MATCH(D439,'Entrada de Dados'!$A$6:$A$196,0)),"CÓDIGO INVÁLIDO"))</f>
        <v/>
      </c>
      <c r="F439" s="373" t="n"/>
      <c r="G439" s="375" t="n"/>
      <c r="H439" s="375" t="n"/>
      <c r="I439" s="376">
        <f>IF(G439="",0,MAX(G439-H439,0))</f>
        <v/>
      </c>
      <c r="J439" s="380" t="n"/>
      <c r="K439" s="162">
        <f>IF(AND(A439="",D439="",G439="",H439=""),"",IF(AND(OR(A439&lt;&gt;"",D439&lt;&gt;""),G439=""),"⏳ PENDENTE (falta qtd. apresentada)",IF(AND(G439&lt;&gt;"",OR(A439="",D439="")),"❌ FALTA Nº RECEBIMENTO/ESCOLA",IF(B439="Nº INVÁLIDO","❌ Nº DE RECEBIMENTO INVÁLIDO",IF(E439="CÓDIGO INVÁLIDO","❌ CÓDIGO DE ESCOLA INVÁLIDO",IF(H439&gt;G439,"❌ REJEITADO MAIOR QUE APRESENTADO",IF(AND(A439&lt;&gt;"",SUMIF($A$60:$A$559,A439,$G$60:$G$559)&gt;INDEX($G$7:$G$56,MATCH(A439,$A$7:$A$56,0))+0.01),"❌ DISTRIBUÍDO MAIS QUE O ACEITO NESSE RECEBIMENTO","OK")))))))</f>
        <v/>
      </c>
      <c r="L439" s="389">
        <f>IF(A439="","",ROW()-59)</f>
        <v/>
      </c>
    </row>
    <row r="440" hidden="1" outlineLevel="1" s="163">
      <c r="A440" s="380" t="n"/>
      <c r="B440" s="372">
        <f>IF(A440="","",IFERROR(INDEX($C$7:$C$56,MATCH(A440,$A$7:$A$56,0)),"Nº INVÁLIDO"))</f>
        <v/>
      </c>
      <c r="C440" s="372">
        <f>IF(A440="","",IFERROR(INDEX($D$7:$D$56,MATCH(A440,$A$7:$A$56,0)),"Nº INVÁLIDO"))</f>
        <v/>
      </c>
      <c r="D440" s="380" t="n"/>
      <c r="E440" s="381">
        <f>IF(D440="","",IFERROR(INDEX('Entrada de Dados'!$B$6:$B$196,MATCH(D440,'Entrada de Dados'!$A$6:$A$196,0)),"CÓDIGO INVÁLIDO"))</f>
        <v/>
      </c>
      <c r="F440" s="373" t="n"/>
      <c r="G440" s="375" t="n"/>
      <c r="H440" s="375" t="n"/>
      <c r="I440" s="376">
        <f>IF(G440="",0,MAX(G440-H440,0))</f>
        <v/>
      </c>
      <c r="J440" s="380" t="n"/>
      <c r="K440" s="162">
        <f>IF(AND(A440="",D440="",G440="",H440=""),"",IF(AND(OR(A440&lt;&gt;"",D440&lt;&gt;""),G440=""),"⏳ PENDENTE (falta qtd. apresentada)",IF(AND(G440&lt;&gt;"",OR(A440="",D440="")),"❌ FALTA Nº RECEBIMENTO/ESCOLA",IF(B440="Nº INVÁLIDO","❌ Nº DE RECEBIMENTO INVÁLIDO",IF(E440="CÓDIGO INVÁLIDO","❌ CÓDIGO DE ESCOLA INVÁLIDO",IF(H440&gt;G440,"❌ REJEITADO MAIOR QUE APRESENTADO",IF(AND(A440&lt;&gt;"",SUMIF($A$60:$A$559,A440,$G$60:$G$559)&gt;INDEX($G$7:$G$56,MATCH(A440,$A$7:$A$56,0))+0.01),"❌ DISTRIBUÍDO MAIS QUE O ACEITO NESSE RECEBIMENTO","OK")))))))</f>
        <v/>
      </c>
      <c r="L440" s="389">
        <f>IF(A440="","",ROW()-59)</f>
        <v/>
      </c>
    </row>
    <row r="441" hidden="1" outlineLevel="1" s="163">
      <c r="A441" s="380" t="n"/>
      <c r="B441" s="372">
        <f>IF(A441="","",IFERROR(INDEX($C$7:$C$56,MATCH(A441,$A$7:$A$56,0)),"Nº INVÁLIDO"))</f>
        <v/>
      </c>
      <c r="C441" s="372">
        <f>IF(A441="","",IFERROR(INDEX($D$7:$D$56,MATCH(A441,$A$7:$A$56,0)),"Nº INVÁLIDO"))</f>
        <v/>
      </c>
      <c r="D441" s="380" t="n"/>
      <c r="E441" s="381">
        <f>IF(D441="","",IFERROR(INDEX('Entrada de Dados'!$B$6:$B$196,MATCH(D441,'Entrada de Dados'!$A$6:$A$196,0)),"CÓDIGO INVÁLIDO"))</f>
        <v/>
      </c>
      <c r="F441" s="373" t="n"/>
      <c r="G441" s="375" t="n"/>
      <c r="H441" s="375" t="n"/>
      <c r="I441" s="376">
        <f>IF(G441="",0,MAX(G441-H441,0))</f>
        <v/>
      </c>
      <c r="J441" s="380" t="n"/>
      <c r="K441" s="162">
        <f>IF(AND(A441="",D441="",G441="",H441=""),"",IF(AND(OR(A441&lt;&gt;"",D441&lt;&gt;""),G441=""),"⏳ PENDENTE (falta qtd. apresentada)",IF(AND(G441&lt;&gt;"",OR(A441="",D441="")),"❌ FALTA Nº RECEBIMENTO/ESCOLA",IF(B441="Nº INVÁLIDO","❌ Nº DE RECEBIMENTO INVÁLIDO",IF(E441="CÓDIGO INVÁLIDO","❌ CÓDIGO DE ESCOLA INVÁLIDO",IF(H441&gt;G441,"❌ REJEITADO MAIOR QUE APRESENTADO",IF(AND(A441&lt;&gt;"",SUMIF($A$60:$A$559,A441,$G$60:$G$559)&gt;INDEX($G$7:$G$56,MATCH(A441,$A$7:$A$56,0))+0.01),"❌ DISTRIBUÍDO MAIS QUE O ACEITO NESSE RECEBIMENTO","OK")))))))</f>
        <v/>
      </c>
      <c r="L441" s="389">
        <f>IF(A441="","",ROW()-59)</f>
        <v/>
      </c>
    </row>
    <row r="442" hidden="1" outlineLevel="1" s="163">
      <c r="A442" s="380" t="n"/>
      <c r="B442" s="372">
        <f>IF(A442="","",IFERROR(INDEX($C$7:$C$56,MATCH(A442,$A$7:$A$56,0)),"Nº INVÁLIDO"))</f>
        <v/>
      </c>
      <c r="C442" s="372">
        <f>IF(A442="","",IFERROR(INDEX($D$7:$D$56,MATCH(A442,$A$7:$A$56,0)),"Nº INVÁLIDO"))</f>
        <v/>
      </c>
      <c r="D442" s="380" t="n"/>
      <c r="E442" s="381">
        <f>IF(D442="","",IFERROR(INDEX('Entrada de Dados'!$B$6:$B$196,MATCH(D442,'Entrada de Dados'!$A$6:$A$196,0)),"CÓDIGO INVÁLIDO"))</f>
        <v/>
      </c>
      <c r="F442" s="373" t="n"/>
      <c r="G442" s="375" t="n"/>
      <c r="H442" s="375" t="n"/>
      <c r="I442" s="376">
        <f>IF(G442="",0,MAX(G442-H442,0))</f>
        <v/>
      </c>
      <c r="J442" s="380" t="n"/>
      <c r="K442" s="162">
        <f>IF(AND(A442="",D442="",G442="",H442=""),"",IF(AND(OR(A442&lt;&gt;"",D442&lt;&gt;""),G442=""),"⏳ PENDENTE (falta qtd. apresentada)",IF(AND(G442&lt;&gt;"",OR(A442="",D442="")),"❌ FALTA Nº RECEBIMENTO/ESCOLA",IF(B442="Nº INVÁLIDO","❌ Nº DE RECEBIMENTO INVÁLIDO",IF(E442="CÓDIGO INVÁLIDO","❌ CÓDIGO DE ESCOLA INVÁLIDO",IF(H442&gt;G442,"❌ REJEITADO MAIOR QUE APRESENTADO",IF(AND(A442&lt;&gt;"",SUMIF($A$60:$A$559,A442,$G$60:$G$559)&gt;INDEX($G$7:$G$56,MATCH(A442,$A$7:$A$56,0))+0.01),"❌ DISTRIBUÍDO MAIS QUE O ACEITO NESSE RECEBIMENTO","OK")))))))</f>
        <v/>
      </c>
      <c r="L442" s="389">
        <f>IF(A442="","",ROW()-59)</f>
        <v/>
      </c>
    </row>
    <row r="443" hidden="1" outlineLevel="1" s="163">
      <c r="A443" s="380" t="n"/>
      <c r="B443" s="372">
        <f>IF(A443="","",IFERROR(INDEX($C$7:$C$56,MATCH(A443,$A$7:$A$56,0)),"Nº INVÁLIDO"))</f>
        <v/>
      </c>
      <c r="C443" s="372">
        <f>IF(A443="","",IFERROR(INDEX($D$7:$D$56,MATCH(A443,$A$7:$A$56,0)),"Nº INVÁLIDO"))</f>
        <v/>
      </c>
      <c r="D443" s="380" t="n"/>
      <c r="E443" s="381">
        <f>IF(D443="","",IFERROR(INDEX('Entrada de Dados'!$B$6:$B$196,MATCH(D443,'Entrada de Dados'!$A$6:$A$196,0)),"CÓDIGO INVÁLIDO"))</f>
        <v/>
      </c>
      <c r="F443" s="373" t="n"/>
      <c r="G443" s="375" t="n"/>
      <c r="H443" s="375" t="n"/>
      <c r="I443" s="376">
        <f>IF(G443="",0,MAX(G443-H443,0))</f>
        <v/>
      </c>
      <c r="J443" s="380" t="n"/>
      <c r="K443" s="162">
        <f>IF(AND(A443="",D443="",G443="",H443=""),"",IF(AND(OR(A443&lt;&gt;"",D443&lt;&gt;""),G443=""),"⏳ PENDENTE (falta qtd. apresentada)",IF(AND(G443&lt;&gt;"",OR(A443="",D443="")),"❌ FALTA Nº RECEBIMENTO/ESCOLA",IF(B443="Nº INVÁLIDO","❌ Nº DE RECEBIMENTO INVÁLIDO",IF(E443="CÓDIGO INVÁLIDO","❌ CÓDIGO DE ESCOLA INVÁLIDO",IF(H443&gt;G443,"❌ REJEITADO MAIOR QUE APRESENTADO",IF(AND(A443&lt;&gt;"",SUMIF($A$60:$A$559,A443,$G$60:$G$559)&gt;INDEX($G$7:$G$56,MATCH(A443,$A$7:$A$56,0))+0.01),"❌ DISTRIBUÍDO MAIS QUE O ACEITO NESSE RECEBIMENTO","OK")))))))</f>
        <v/>
      </c>
      <c r="L443" s="389">
        <f>IF(A443="","",ROW()-59)</f>
        <v/>
      </c>
    </row>
    <row r="444" hidden="1" outlineLevel="1" s="163">
      <c r="A444" s="380" t="n"/>
      <c r="B444" s="372">
        <f>IF(A444="","",IFERROR(INDEX($C$7:$C$56,MATCH(A444,$A$7:$A$56,0)),"Nº INVÁLIDO"))</f>
        <v/>
      </c>
      <c r="C444" s="372">
        <f>IF(A444="","",IFERROR(INDEX($D$7:$D$56,MATCH(A444,$A$7:$A$56,0)),"Nº INVÁLIDO"))</f>
        <v/>
      </c>
      <c r="D444" s="380" t="n"/>
      <c r="E444" s="381">
        <f>IF(D444="","",IFERROR(INDEX('Entrada de Dados'!$B$6:$B$196,MATCH(D444,'Entrada de Dados'!$A$6:$A$196,0)),"CÓDIGO INVÁLIDO"))</f>
        <v/>
      </c>
      <c r="F444" s="373" t="n"/>
      <c r="G444" s="375" t="n"/>
      <c r="H444" s="375" t="n"/>
      <c r="I444" s="376">
        <f>IF(G444="",0,MAX(G444-H444,0))</f>
        <v/>
      </c>
      <c r="J444" s="380" t="n"/>
      <c r="K444" s="162">
        <f>IF(AND(A444="",D444="",G444="",H444=""),"",IF(AND(OR(A444&lt;&gt;"",D444&lt;&gt;""),G444=""),"⏳ PENDENTE (falta qtd. apresentada)",IF(AND(G444&lt;&gt;"",OR(A444="",D444="")),"❌ FALTA Nº RECEBIMENTO/ESCOLA",IF(B444="Nº INVÁLIDO","❌ Nº DE RECEBIMENTO INVÁLIDO",IF(E444="CÓDIGO INVÁLIDO","❌ CÓDIGO DE ESCOLA INVÁLIDO",IF(H444&gt;G444,"❌ REJEITADO MAIOR QUE APRESENTADO",IF(AND(A444&lt;&gt;"",SUMIF($A$60:$A$559,A444,$G$60:$G$559)&gt;INDEX($G$7:$G$56,MATCH(A444,$A$7:$A$56,0))+0.01),"❌ DISTRIBUÍDO MAIS QUE O ACEITO NESSE RECEBIMENTO","OK")))))))</f>
        <v/>
      </c>
      <c r="L444" s="389">
        <f>IF(A444="","",ROW()-59)</f>
        <v/>
      </c>
    </row>
    <row r="445" hidden="1" outlineLevel="1" s="163">
      <c r="A445" s="380" t="n"/>
      <c r="B445" s="372">
        <f>IF(A445="","",IFERROR(INDEX($C$7:$C$56,MATCH(A445,$A$7:$A$56,0)),"Nº INVÁLIDO"))</f>
        <v/>
      </c>
      <c r="C445" s="372">
        <f>IF(A445="","",IFERROR(INDEX($D$7:$D$56,MATCH(A445,$A$7:$A$56,0)),"Nº INVÁLIDO"))</f>
        <v/>
      </c>
      <c r="D445" s="380" t="n"/>
      <c r="E445" s="381">
        <f>IF(D445="","",IFERROR(INDEX('Entrada de Dados'!$B$6:$B$196,MATCH(D445,'Entrada de Dados'!$A$6:$A$196,0)),"CÓDIGO INVÁLIDO"))</f>
        <v/>
      </c>
      <c r="F445" s="373" t="n"/>
      <c r="G445" s="375" t="n"/>
      <c r="H445" s="375" t="n"/>
      <c r="I445" s="376">
        <f>IF(G445="",0,MAX(G445-H445,0))</f>
        <v/>
      </c>
      <c r="J445" s="380" t="n"/>
      <c r="K445" s="162">
        <f>IF(AND(A445="",D445="",G445="",H445=""),"",IF(AND(OR(A445&lt;&gt;"",D445&lt;&gt;""),G445=""),"⏳ PENDENTE (falta qtd. apresentada)",IF(AND(G445&lt;&gt;"",OR(A445="",D445="")),"❌ FALTA Nº RECEBIMENTO/ESCOLA",IF(B445="Nº INVÁLIDO","❌ Nº DE RECEBIMENTO INVÁLIDO",IF(E445="CÓDIGO INVÁLIDO","❌ CÓDIGO DE ESCOLA INVÁLIDO",IF(H445&gt;G445,"❌ REJEITADO MAIOR QUE APRESENTADO",IF(AND(A445&lt;&gt;"",SUMIF($A$60:$A$559,A445,$G$60:$G$559)&gt;INDEX($G$7:$G$56,MATCH(A445,$A$7:$A$56,0))+0.01),"❌ DISTRIBUÍDO MAIS QUE O ACEITO NESSE RECEBIMENTO","OK")))))))</f>
        <v/>
      </c>
      <c r="L445" s="389">
        <f>IF(A445="","",ROW()-59)</f>
        <v/>
      </c>
    </row>
    <row r="446" hidden="1" outlineLevel="1" s="163">
      <c r="A446" s="380" t="n"/>
      <c r="B446" s="372">
        <f>IF(A446="","",IFERROR(INDEX($C$7:$C$56,MATCH(A446,$A$7:$A$56,0)),"Nº INVÁLIDO"))</f>
        <v/>
      </c>
      <c r="C446" s="372">
        <f>IF(A446="","",IFERROR(INDEX($D$7:$D$56,MATCH(A446,$A$7:$A$56,0)),"Nº INVÁLIDO"))</f>
        <v/>
      </c>
      <c r="D446" s="380" t="n"/>
      <c r="E446" s="381">
        <f>IF(D446="","",IFERROR(INDEX('Entrada de Dados'!$B$6:$B$196,MATCH(D446,'Entrada de Dados'!$A$6:$A$196,0)),"CÓDIGO INVÁLIDO"))</f>
        <v/>
      </c>
      <c r="F446" s="373" t="n"/>
      <c r="G446" s="375" t="n"/>
      <c r="H446" s="375" t="n"/>
      <c r="I446" s="376">
        <f>IF(G446="",0,MAX(G446-H446,0))</f>
        <v/>
      </c>
      <c r="J446" s="380" t="n"/>
      <c r="K446" s="162">
        <f>IF(AND(A446="",D446="",G446="",H446=""),"",IF(AND(OR(A446&lt;&gt;"",D446&lt;&gt;""),G446=""),"⏳ PENDENTE (falta qtd. apresentada)",IF(AND(G446&lt;&gt;"",OR(A446="",D446="")),"❌ FALTA Nº RECEBIMENTO/ESCOLA",IF(B446="Nº INVÁLIDO","❌ Nº DE RECEBIMENTO INVÁLIDO",IF(E446="CÓDIGO INVÁLIDO","❌ CÓDIGO DE ESCOLA INVÁLIDO",IF(H446&gt;G446,"❌ REJEITADO MAIOR QUE APRESENTADO",IF(AND(A446&lt;&gt;"",SUMIF($A$60:$A$559,A446,$G$60:$G$559)&gt;INDEX($G$7:$G$56,MATCH(A446,$A$7:$A$56,0))+0.01),"❌ DISTRIBUÍDO MAIS QUE O ACEITO NESSE RECEBIMENTO","OK")))))))</f>
        <v/>
      </c>
      <c r="L446" s="389">
        <f>IF(A446="","",ROW()-59)</f>
        <v/>
      </c>
    </row>
    <row r="447" hidden="1" outlineLevel="1" s="163">
      <c r="A447" s="380" t="n"/>
      <c r="B447" s="372">
        <f>IF(A447="","",IFERROR(INDEX($C$7:$C$56,MATCH(A447,$A$7:$A$56,0)),"Nº INVÁLIDO"))</f>
        <v/>
      </c>
      <c r="C447" s="372">
        <f>IF(A447="","",IFERROR(INDEX($D$7:$D$56,MATCH(A447,$A$7:$A$56,0)),"Nº INVÁLIDO"))</f>
        <v/>
      </c>
      <c r="D447" s="380" t="n"/>
      <c r="E447" s="381">
        <f>IF(D447="","",IFERROR(INDEX('Entrada de Dados'!$B$6:$B$196,MATCH(D447,'Entrada de Dados'!$A$6:$A$196,0)),"CÓDIGO INVÁLIDO"))</f>
        <v/>
      </c>
      <c r="F447" s="373" t="n"/>
      <c r="G447" s="375" t="n"/>
      <c r="H447" s="375" t="n"/>
      <c r="I447" s="376">
        <f>IF(G447="",0,MAX(G447-H447,0))</f>
        <v/>
      </c>
      <c r="J447" s="380" t="n"/>
      <c r="K447" s="162">
        <f>IF(AND(A447="",D447="",G447="",H447=""),"",IF(AND(OR(A447&lt;&gt;"",D447&lt;&gt;""),G447=""),"⏳ PENDENTE (falta qtd. apresentada)",IF(AND(G447&lt;&gt;"",OR(A447="",D447="")),"❌ FALTA Nº RECEBIMENTO/ESCOLA",IF(B447="Nº INVÁLIDO","❌ Nº DE RECEBIMENTO INVÁLIDO",IF(E447="CÓDIGO INVÁLIDO","❌ CÓDIGO DE ESCOLA INVÁLIDO",IF(H447&gt;G447,"❌ REJEITADO MAIOR QUE APRESENTADO",IF(AND(A447&lt;&gt;"",SUMIF($A$60:$A$559,A447,$G$60:$G$559)&gt;INDEX($G$7:$G$56,MATCH(A447,$A$7:$A$56,0))+0.01),"❌ DISTRIBUÍDO MAIS QUE O ACEITO NESSE RECEBIMENTO","OK")))))))</f>
        <v/>
      </c>
      <c r="L447" s="389">
        <f>IF(A447="","",ROW()-59)</f>
        <v/>
      </c>
    </row>
    <row r="448" hidden="1" outlineLevel="1" s="163">
      <c r="A448" s="380" t="n"/>
      <c r="B448" s="372">
        <f>IF(A448="","",IFERROR(INDEX($C$7:$C$56,MATCH(A448,$A$7:$A$56,0)),"Nº INVÁLIDO"))</f>
        <v/>
      </c>
      <c r="C448" s="372">
        <f>IF(A448="","",IFERROR(INDEX($D$7:$D$56,MATCH(A448,$A$7:$A$56,0)),"Nº INVÁLIDO"))</f>
        <v/>
      </c>
      <c r="D448" s="380" t="n"/>
      <c r="E448" s="381">
        <f>IF(D448="","",IFERROR(INDEX('Entrada de Dados'!$B$6:$B$196,MATCH(D448,'Entrada de Dados'!$A$6:$A$196,0)),"CÓDIGO INVÁLIDO"))</f>
        <v/>
      </c>
      <c r="F448" s="373" t="n"/>
      <c r="G448" s="375" t="n"/>
      <c r="H448" s="375" t="n"/>
      <c r="I448" s="376">
        <f>IF(G448="",0,MAX(G448-H448,0))</f>
        <v/>
      </c>
      <c r="J448" s="380" t="n"/>
      <c r="K448" s="162">
        <f>IF(AND(A448="",D448="",G448="",H448=""),"",IF(AND(OR(A448&lt;&gt;"",D448&lt;&gt;""),G448=""),"⏳ PENDENTE (falta qtd. apresentada)",IF(AND(G448&lt;&gt;"",OR(A448="",D448="")),"❌ FALTA Nº RECEBIMENTO/ESCOLA",IF(B448="Nº INVÁLIDO","❌ Nº DE RECEBIMENTO INVÁLIDO",IF(E448="CÓDIGO INVÁLIDO","❌ CÓDIGO DE ESCOLA INVÁLIDO",IF(H448&gt;G448,"❌ REJEITADO MAIOR QUE APRESENTADO",IF(AND(A448&lt;&gt;"",SUMIF($A$60:$A$559,A448,$G$60:$G$559)&gt;INDEX($G$7:$G$56,MATCH(A448,$A$7:$A$56,0))+0.01),"❌ DISTRIBUÍDO MAIS QUE O ACEITO NESSE RECEBIMENTO","OK")))))))</f>
        <v/>
      </c>
      <c r="L448" s="389">
        <f>IF(A448="","",ROW()-59)</f>
        <v/>
      </c>
    </row>
    <row r="449" hidden="1" outlineLevel="1" s="163">
      <c r="A449" s="380" t="n"/>
      <c r="B449" s="372">
        <f>IF(A449="","",IFERROR(INDEX($C$7:$C$56,MATCH(A449,$A$7:$A$56,0)),"Nº INVÁLIDO"))</f>
        <v/>
      </c>
      <c r="C449" s="372">
        <f>IF(A449="","",IFERROR(INDEX($D$7:$D$56,MATCH(A449,$A$7:$A$56,0)),"Nº INVÁLIDO"))</f>
        <v/>
      </c>
      <c r="D449" s="380" t="n"/>
      <c r="E449" s="381">
        <f>IF(D449="","",IFERROR(INDEX('Entrada de Dados'!$B$6:$B$196,MATCH(D449,'Entrada de Dados'!$A$6:$A$196,0)),"CÓDIGO INVÁLIDO"))</f>
        <v/>
      </c>
      <c r="F449" s="373" t="n"/>
      <c r="G449" s="375" t="n"/>
      <c r="H449" s="375" t="n"/>
      <c r="I449" s="376">
        <f>IF(G449="",0,MAX(G449-H449,0))</f>
        <v/>
      </c>
      <c r="J449" s="380" t="n"/>
      <c r="K449" s="162">
        <f>IF(AND(A449="",D449="",G449="",H449=""),"",IF(AND(OR(A449&lt;&gt;"",D449&lt;&gt;""),G449=""),"⏳ PENDENTE (falta qtd. apresentada)",IF(AND(G449&lt;&gt;"",OR(A449="",D449="")),"❌ FALTA Nº RECEBIMENTO/ESCOLA",IF(B449="Nº INVÁLIDO","❌ Nº DE RECEBIMENTO INVÁLIDO",IF(E449="CÓDIGO INVÁLIDO","❌ CÓDIGO DE ESCOLA INVÁLIDO",IF(H449&gt;G449,"❌ REJEITADO MAIOR QUE APRESENTADO",IF(AND(A449&lt;&gt;"",SUMIF($A$60:$A$559,A449,$G$60:$G$559)&gt;INDEX($G$7:$G$56,MATCH(A449,$A$7:$A$56,0))+0.01),"❌ DISTRIBUÍDO MAIS QUE O ACEITO NESSE RECEBIMENTO","OK")))))))</f>
        <v/>
      </c>
      <c r="L449" s="389">
        <f>IF(A449="","",ROW()-59)</f>
        <v/>
      </c>
    </row>
    <row r="450" hidden="1" outlineLevel="1" s="163">
      <c r="A450" s="380" t="n"/>
      <c r="B450" s="372">
        <f>IF(A450="","",IFERROR(INDEX($C$7:$C$56,MATCH(A450,$A$7:$A$56,0)),"Nº INVÁLIDO"))</f>
        <v/>
      </c>
      <c r="C450" s="372">
        <f>IF(A450="","",IFERROR(INDEX($D$7:$D$56,MATCH(A450,$A$7:$A$56,0)),"Nº INVÁLIDO"))</f>
        <v/>
      </c>
      <c r="D450" s="380" t="n"/>
      <c r="E450" s="381">
        <f>IF(D450="","",IFERROR(INDEX('Entrada de Dados'!$B$6:$B$196,MATCH(D450,'Entrada de Dados'!$A$6:$A$196,0)),"CÓDIGO INVÁLIDO"))</f>
        <v/>
      </c>
      <c r="F450" s="373" t="n"/>
      <c r="G450" s="375" t="n"/>
      <c r="H450" s="375" t="n"/>
      <c r="I450" s="376">
        <f>IF(G450="",0,MAX(G450-H450,0))</f>
        <v/>
      </c>
      <c r="J450" s="380" t="n"/>
      <c r="K450" s="162">
        <f>IF(AND(A450="",D450="",G450="",H450=""),"",IF(AND(OR(A450&lt;&gt;"",D450&lt;&gt;""),G450=""),"⏳ PENDENTE (falta qtd. apresentada)",IF(AND(G450&lt;&gt;"",OR(A450="",D450="")),"❌ FALTA Nº RECEBIMENTO/ESCOLA",IF(B450="Nº INVÁLIDO","❌ Nº DE RECEBIMENTO INVÁLIDO",IF(E450="CÓDIGO INVÁLIDO","❌ CÓDIGO DE ESCOLA INVÁLIDO",IF(H450&gt;G450,"❌ REJEITADO MAIOR QUE APRESENTADO",IF(AND(A450&lt;&gt;"",SUMIF($A$60:$A$559,A450,$G$60:$G$559)&gt;INDEX($G$7:$G$56,MATCH(A450,$A$7:$A$56,0))+0.01),"❌ DISTRIBUÍDO MAIS QUE O ACEITO NESSE RECEBIMENTO","OK")))))))</f>
        <v/>
      </c>
      <c r="L450" s="389">
        <f>IF(A450="","",ROW()-59)</f>
        <v/>
      </c>
    </row>
    <row r="451" hidden="1" outlineLevel="1" s="163">
      <c r="A451" s="380" t="n"/>
      <c r="B451" s="372">
        <f>IF(A451="","",IFERROR(INDEX($C$7:$C$56,MATCH(A451,$A$7:$A$56,0)),"Nº INVÁLIDO"))</f>
        <v/>
      </c>
      <c r="C451" s="372">
        <f>IF(A451="","",IFERROR(INDEX($D$7:$D$56,MATCH(A451,$A$7:$A$56,0)),"Nº INVÁLIDO"))</f>
        <v/>
      </c>
      <c r="D451" s="380" t="n"/>
      <c r="E451" s="381">
        <f>IF(D451="","",IFERROR(INDEX('Entrada de Dados'!$B$6:$B$196,MATCH(D451,'Entrada de Dados'!$A$6:$A$196,0)),"CÓDIGO INVÁLIDO"))</f>
        <v/>
      </c>
      <c r="F451" s="373" t="n"/>
      <c r="G451" s="375" t="n"/>
      <c r="H451" s="375" t="n"/>
      <c r="I451" s="376">
        <f>IF(G451="",0,MAX(G451-H451,0))</f>
        <v/>
      </c>
      <c r="J451" s="380" t="n"/>
      <c r="K451" s="162">
        <f>IF(AND(A451="",D451="",G451="",H451=""),"",IF(AND(OR(A451&lt;&gt;"",D451&lt;&gt;""),G451=""),"⏳ PENDENTE (falta qtd. apresentada)",IF(AND(G451&lt;&gt;"",OR(A451="",D451="")),"❌ FALTA Nº RECEBIMENTO/ESCOLA",IF(B451="Nº INVÁLIDO","❌ Nº DE RECEBIMENTO INVÁLIDO",IF(E451="CÓDIGO INVÁLIDO","❌ CÓDIGO DE ESCOLA INVÁLIDO",IF(H451&gt;G451,"❌ REJEITADO MAIOR QUE APRESENTADO",IF(AND(A451&lt;&gt;"",SUMIF($A$60:$A$559,A451,$G$60:$G$559)&gt;INDEX($G$7:$G$56,MATCH(A451,$A$7:$A$56,0))+0.01),"❌ DISTRIBUÍDO MAIS QUE O ACEITO NESSE RECEBIMENTO","OK")))))))</f>
        <v/>
      </c>
      <c r="L451" s="389">
        <f>IF(A451="","",ROW()-59)</f>
        <v/>
      </c>
    </row>
    <row r="452" hidden="1" outlineLevel="1" s="163">
      <c r="A452" s="380" t="n"/>
      <c r="B452" s="372">
        <f>IF(A452="","",IFERROR(INDEX($C$7:$C$56,MATCH(A452,$A$7:$A$56,0)),"Nº INVÁLIDO"))</f>
        <v/>
      </c>
      <c r="C452" s="372">
        <f>IF(A452="","",IFERROR(INDEX($D$7:$D$56,MATCH(A452,$A$7:$A$56,0)),"Nº INVÁLIDO"))</f>
        <v/>
      </c>
      <c r="D452" s="380" t="n"/>
      <c r="E452" s="381">
        <f>IF(D452="","",IFERROR(INDEX('Entrada de Dados'!$B$6:$B$196,MATCH(D452,'Entrada de Dados'!$A$6:$A$196,0)),"CÓDIGO INVÁLIDO"))</f>
        <v/>
      </c>
      <c r="F452" s="373" t="n"/>
      <c r="G452" s="375" t="n"/>
      <c r="H452" s="375" t="n"/>
      <c r="I452" s="376">
        <f>IF(G452="",0,MAX(G452-H452,0))</f>
        <v/>
      </c>
      <c r="J452" s="380" t="n"/>
      <c r="K452" s="162">
        <f>IF(AND(A452="",D452="",G452="",H452=""),"",IF(AND(OR(A452&lt;&gt;"",D452&lt;&gt;""),G452=""),"⏳ PENDENTE (falta qtd. apresentada)",IF(AND(G452&lt;&gt;"",OR(A452="",D452="")),"❌ FALTA Nº RECEBIMENTO/ESCOLA",IF(B452="Nº INVÁLIDO","❌ Nº DE RECEBIMENTO INVÁLIDO",IF(E452="CÓDIGO INVÁLIDO","❌ CÓDIGO DE ESCOLA INVÁLIDO",IF(H452&gt;G452,"❌ REJEITADO MAIOR QUE APRESENTADO",IF(AND(A452&lt;&gt;"",SUMIF($A$60:$A$559,A452,$G$60:$G$559)&gt;INDEX($G$7:$G$56,MATCH(A452,$A$7:$A$56,0))+0.01),"❌ DISTRIBUÍDO MAIS QUE O ACEITO NESSE RECEBIMENTO","OK")))))))</f>
        <v/>
      </c>
      <c r="L452" s="389">
        <f>IF(A452="","",ROW()-59)</f>
        <v/>
      </c>
    </row>
    <row r="453" hidden="1" outlineLevel="1" s="163">
      <c r="A453" s="380" t="n"/>
      <c r="B453" s="372">
        <f>IF(A453="","",IFERROR(INDEX($C$7:$C$56,MATCH(A453,$A$7:$A$56,0)),"Nº INVÁLIDO"))</f>
        <v/>
      </c>
      <c r="C453" s="372">
        <f>IF(A453="","",IFERROR(INDEX($D$7:$D$56,MATCH(A453,$A$7:$A$56,0)),"Nº INVÁLIDO"))</f>
        <v/>
      </c>
      <c r="D453" s="380" t="n"/>
      <c r="E453" s="381">
        <f>IF(D453="","",IFERROR(INDEX('Entrada de Dados'!$B$6:$B$196,MATCH(D453,'Entrada de Dados'!$A$6:$A$196,0)),"CÓDIGO INVÁLIDO"))</f>
        <v/>
      </c>
      <c r="F453" s="373" t="n"/>
      <c r="G453" s="375" t="n"/>
      <c r="H453" s="375" t="n"/>
      <c r="I453" s="376">
        <f>IF(G453="",0,MAX(G453-H453,0))</f>
        <v/>
      </c>
      <c r="J453" s="380" t="n"/>
      <c r="K453" s="162">
        <f>IF(AND(A453="",D453="",G453="",H453=""),"",IF(AND(OR(A453&lt;&gt;"",D453&lt;&gt;""),G453=""),"⏳ PENDENTE (falta qtd. apresentada)",IF(AND(G453&lt;&gt;"",OR(A453="",D453="")),"❌ FALTA Nº RECEBIMENTO/ESCOLA",IF(B453="Nº INVÁLIDO","❌ Nº DE RECEBIMENTO INVÁLIDO",IF(E453="CÓDIGO INVÁLIDO","❌ CÓDIGO DE ESCOLA INVÁLIDO",IF(H453&gt;G453,"❌ REJEITADO MAIOR QUE APRESENTADO",IF(AND(A453&lt;&gt;"",SUMIF($A$60:$A$559,A453,$G$60:$G$559)&gt;INDEX($G$7:$G$56,MATCH(A453,$A$7:$A$56,0))+0.01),"❌ DISTRIBUÍDO MAIS QUE O ACEITO NESSE RECEBIMENTO","OK")))))))</f>
        <v/>
      </c>
      <c r="L453" s="389">
        <f>IF(A453="","",ROW()-59)</f>
        <v/>
      </c>
    </row>
    <row r="454" hidden="1" outlineLevel="1" s="163">
      <c r="A454" s="380" t="n"/>
      <c r="B454" s="372">
        <f>IF(A454="","",IFERROR(INDEX($C$7:$C$56,MATCH(A454,$A$7:$A$56,0)),"Nº INVÁLIDO"))</f>
        <v/>
      </c>
      <c r="C454" s="372">
        <f>IF(A454="","",IFERROR(INDEX($D$7:$D$56,MATCH(A454,$A$7:$A$56,0)),"Nº INVÁLIDO"))</f>
        <v/>
      </c>
      <c r="D454" s="380" t="n"/>
      <c r="E454" s="381">
        <f>IF(D454="","",IFERROR(INDEX('Entrada de Dados'!$B$6:$B$196,MATCH(D454,'Entrada de Dados'!$A$6:$A$196,0)),"CÓDIGO INVÁLIDO"))</f>
        <v/>
      </c>
      <c r="F454" s="373" t="n"/>
      <c r="G454" s="375" t="n"/>
      <c r="H454" s="375" t="n"/>
      <c r="I454" s="376">
        <f>IF(G454="",0,MAX(G454-H454,0))</f>
        <v/>
      </c>
      <c r="J454" s="380" t="n"/>
      <c r="K454" s="162">
        <f>IF(AND(A454="",D454="",G454="",H454=""),"",IF(AND(OR(A454&lt;&gt;"",D454&lt;&gt;""),G454=""),"⏳ PENDENTE (falta qtd. apresentada)",IF(AND(G454&lt;&gt;"",OR(A454="",D454="")),"❌ FALTA Nº RECEBIMENTO/ESCOLA",IF(B454="Nº INVÁLIDO","❌ Nº DE RECEBIMENTO INVÁLIDO",IF(E454="CÓDIGO INVÁLIDO","❌ CÓDIGO DE ESCOLA INVÁLIDO",IF(H454&gt;G454,"❌ REJEITADO MAIOR QUE APRESENTADO",IF(AND(A454&lt;&gt;"",SUMIF($A$60:$A$559,A454,$G$60:$G$559)&gt;INDEX($G$7:$G$56,MATCH(A454,$A$7:$A$56,0))+0.01),"❌ DISTRIBUÍDO MAIS QUE O ACEITO NESSE RECEBIMENTO","OK")))))))</f>
        <v/>
      </c>
      <c r="L454" s="389">
        <f>IF(A454="","",ROW()-59)</f>
        <v/>
      </c>
    </row>
    <row r="455" hidden="1" outlineLevel="1" s="163">
      <c r="A455" s="380" t="n"/>
      <c r="B455" s="372">
        <f>IF(A455="","",IFERROR(INDEX($C$7:$C$56,MATCH(A455,$A$7:$A$56,0)),"Nº INVÁLIDO"))</f>
        <v/>
      </c>
      <c r="C455" s="372">
        <f>IF(A455="","",IFERROR(INDEX($D$7:$D$56,MATCH(A455,$A$7:$A$56,0)),"Nº INVÁLIDO"))</f>
        <v/>
      </c>
      <c r="D455" s="380" t="n"/>
      <c r="E455" s="381">
        <f>IF(D455="","",IFERROR(INDEX('Entrada de Dados'!$B$6:$B$196,MATCH(D455,'Entrada de Dados'!$A$6:$A$196,0)),"CÓDIGO INVÁLIDO"))</f>
        <v/>
      </c>
      <c r="F455" s="373" t="n"/>
      <c r="G455" s="375" t="n"/>
      <c r="H455" s="375" t="n"/>
      <c r="I455" s="376">
        <f>IF(G455="",0,MAX(G455-H455,0))</f>
        <v/>
      </c>
      <c r="J455" s="380" t="n"/>
      <c r="K455" s="162">
        <f>IF(AND(A455="",D455="",G455="",H455=""),"",IF(AND(OR(A455&lt;&gt;"",D455&lt;&gt;""),G455=""),"⏳ PENDENTE (falta qtd. apresentada)",IF(AND(G455&lt;&gt;"",OR(A455="",D455="")),"❌ FALTA Nº RECEBIMENTO/ESCOLA",IF(B455="Nº INVÁLIDO","❌ Nº DE RECEBIMENTO INVÁLIDO",IF(E455="CÓDIGO INVÁLIDO","❌ CÓDIGO DE ESCOLA INVÁLIDO",IF(H455&gt;G455,"❌ REJEITADO MAIOR QUE APRESENTADO",IF(AND(A455&lt;&gt;"",SUMIF($A$60:$A$559,A455,$G$60:$G$559)&gt;INDEX($G$7:$G$56,MATCH(A455,$A$7:$A$56,0))+0.01),"❌ DISTRIBUÍDO MAIS QUE O ACEITO NESSE RECEBIMENTO","OK")))))))</f>
        <v/>
      </c>
      <c r="L455" s="389">
        <f>IF(A455="","",ROW()-59)</f>
        <v/>
      </c>
    </row>
    <row r="456" hidden="1" outlineLevel="1" s="163">
      <c r="A456" s="380" t="n"/>
      <c r="B456" s="372">
        <f>IF(A456="","",IFERROR(INDEX($C$7:$C$56,MATCH(A456,$A$7:$A$56,0)),"Nº INVÁLIDO"))</f>
        <v/>
      </c>
      <c r="C456" s="372">
        <f>IF(A456="","",IFERROR(INDEX($D$7:$D$56,MATCH(A456,$A$7:$A$56,0)),"Nº INVÁLIDO"))</f>
        <v/>
      </c>
      <c r="D456" s="380" t="n"/>
      <c r="E456" s="381">
        <f>IF(D456="","",IFERROR(INDEX('Entrada de Dados'!$B$6:$B$196,MATCH(D456,'Entrada de Dados'!$A$6:$A$196,0)),"CÓDIGO INVÁLIDO"))</f>
        <v/>
      </c>
      <c r="F456" s="373" t="n"/>
      <c r="G456" s="375" t="n"/>
      <c r="H456" s="375" t="n"/>
      <c r="I456" s="376">
        <f>IF(G456="",0,MAX(G456-H456,0))</f>
        <v/>
      </c>
      <c r="J456" s="380" t="n"/>
      <c r="K456" s="162">
        <f>IF(AND(A456="",D456="",G456="",H456=""),"",IF(AND(OR(A456&lt;&gt;"",D456&lt;&gt;""),G456=""),"⏳ PENDENTE (falta qtd. apresentada)",IF(AND(G456&lt;&gt;"",OR(A456="",D456="")),"❌ FALTA Nº RECEBIMENTO/ESCOLA",IF(B456="Nº INVÁLIDO","❌ Nº DE RECEBIMENTO INVÁLIDO",IF(E456="CÓDIGO INVÁLIDO","❌ CÓDIGO DE ESCOLA INVÁLIDO",IF(H456&gt;G456,"❌ REJEITADO MAIOR QUE APRESENTADO",IF(AND(A456&lt;&gt;"",SUMIF($A$60:$A$559,A456,$G$60:$G$559)&gt;INDEX($G$7:$G$56,MATCH(A456,$A$7:$A$56,0))+0.01),"❌ DISTRIBUÍDO MAIS QUE O ACEITO NESSE RECEBIMENTO","OK")))))))</f>
        <v/>
      </c>
      <c r="L456" s="389">
        <f>IF(A456="","",ROW()-59)</f>
        <v/>
      </c>
    </row>
    <row r="457" hidden="1" outlineLevel="1" s="163">
      <c r="A457" s="380" t="n"/>
      <c r="B457" s="372">
        <f>IF(A457="","",IFERROR(INDEX($C$7:$C$56,MATCH(A457,$A$7:$A$56,0)),"Nº INVÁLIDO"))</f>
        <v/>
      </c>
      <c r="C457" s="372">
        <f>IF(A457="","",IFERROR(INDEX($D$7:$D$56,MATCH(A457,$A$7:$A$56,0)),"Nº INVÁLIDO"))</f>
        <v/>
      </c>
      <c r="D457" s="380" t="n"/>
      <c r="E457" s="381">
        <f>IF(D457="","",IFERROR(INDEX('Entrada de Dados'!$B$6:$B$196,MATCH(D457,'Entrada de Dados'!$A$6:$A$196,0)),"CÓDIGO INVÁLIDO"))</f>
        <v/>
      </c>
      <c r="F457" s="373" t="n"/>
      <c r="G457" s="375" t="n"/>
      <c r="H457" s="375" t="n"/>
      <c r="I457" s="376">
        <f>IF(G457="",0,MAX(G457-H457,0))</f>
        <v/>
      </c>
      <c r="J457" s="380" t="n"/>
      <c r="K457" s="162">
        <f>IF(AND(A457="",D457="",G457="",H457=""),"",IF(AND(OR(A457&lt;&gt;"",D457&lt;&gt;""),G457=""),"⏳ PENDENTE (falta qtd. apresentada)",IF(AND(G457&lt;&gt;"",OR(A457="",D457="")),"❌ FALTA Nº RECEBIMENTO/ESCOLA",IF(B457="Nº INVÁLIDO","❌ Nº DE RECEBIMENTO INVÁLIDO",IF(E457="CÓDIGO INVÁLIDO","❌ CÓDIGO DE ESCOLA INVÁLIDO",IF(H457&gt;G457,"❌ REJEITADO MAIOR QUE APRESENTADO",IF(AND(A457&lt;&gt;"",SUMIF($A$60:$A$559,A457,$G$60:$G$559)&gt;INDEX($G$7:$G$56,MATCH(A457,$A$7:$A$56,0))+0.01),"❌ DISTRIBUÍDO MAIS QUE O ACEITO NESSE RECEBIMENTO","OK")))))))</f>
        <v/>
      </c>
      <c r="L457" s="389">
        <f>IF(A457="","",ROW()-59)</f>
        <v/>
      </c>
    </row>
    <row r="458" hidden="1" outlineLevel="1" s="163">
      <c r="A458" s="380" t="n"/>
      <c r="B458" s="372">
        <f>IF(A458="","",IFERROR(INDEX($C$7:$C$56,MATCH(A458,$A$7:$A$56,0)),"Nº INVÁLIDO"))</f>
        <v/>
      </c>
      <c r="C458" s="372">
        <f>IF(A458="","",IFERROR(INDEX($D$7:$D$56,MATCH(A458,$A$7:$A$56,0)),"Nº INVÁLIDO"))</f>
        <v/>
      </c>
      <c r="D458" s="380" t="n"/>
      <c r="E458" s="381">
        <f>IF(D458="","",IFERROR(INDEX('Entrada de Dados'!$B$6:$B$196,MATCH(D458,'Entrada de Dados'!$A$6:$A$196,0)),"CÓDIGO INVÁLIDO"))</f>
        <v/>
      </c>
      <c r="F458" s="373" t="n"/>
      <c r="G458" s="375" t="n"/>
      <c r="H458" s="375" t="n"/>
      <c r="I458" s="376">
        <f>IF(G458="",0,MAX(G458-H458,0))</f>
        <v/>
      </c>
      <c r="J458" s="380" t="n"/>
      <c r="K458" s="162">
        <f>IF(AND(A458="",D458="",G458="",H458=""),"",IF(AND(OR(A458&lt;&gt;"",D458&lt;&gt;""),G458=""),"⏳ PENDENTE (falta qtd. apresentada)",IF(AND(G458&lt;&gt;"",OR(A458="",D458="")),"❌ FALTA Nº RECEBIMENTO/ESCOLA",IF(B458="Nº INVÁLIDO","❌ Nº DE RECEBIMENTO INVÁLIDO",IF(E458="CÓDIGO INVÁLIDO","❌ CÓDIGO DE ESCOLA INVÁLIDO",IF(H458&gt;G458,"❌ REJEITADO MAIOR QUE APRESENTADO",IF(AND(A458&lt;&gt;"",SUMIF($A$60:$A$559,A458,$G$60:$G$559)&gt;INDEX($G$7:$G$56,MATCH(A458,$A$7:$A$56,0))+0.01),"❌ DISTRIBUÍDO MAIS QUE O ACEITO NESSE RECEBIMENTO","OK")))))))</f>
        <v/>
      </c>
      <c r="L458" s="389">
        <f>IF(A458="","",ROW()-59)</f>
        <v/>
      </c>
    </row>
    <row r="459" hidden="1" outlineLevel="1" s="163">
      <c r="A459" s="380" t="n"/>
      <c r="B459" s="372">
        <f>IF(A459="","",IFERROR(INDEX($C$7:$C$56,MATCH(A459,$A$7:$A$56,0)),"Nº INVÁLIDO"))</f>
        <v/>
      </c>
      <c r="C459" s="372">
        <f>IF(A459="","",IFERROR(INDEX($D$7:$D$56,MATCH(A459,$A$7:$A$56,0)),"Nº INVÁLIDO"))</f>
        <v/>
      </c>
      <c r="D459" s="380" t="n"/>
      <c r="E459" s="381">
        <f>IF(D459="","",IFERROR(INDEX('Entrada de Dados'!$B$6:$B$196,MATCH(D459,'Entrada de Dados'!$A$6:$A$196,0)),"CÓDIGO INVÁLIDO"))</f>
        <v/>
      </c>
      <c r="F459" s="373" t="n"/>
      <c r="G459" s="375" t="n"/>
      <c r="H459" s="375" t="n"/>
      <c r="I459" s="376">
        <f>IF(G459="",0,MAX(G459-H459,0))</f>
        <v/>
      </c>
      <c r="J459" s="380" t="n"/>
      <c r="K459" s="162">
        <f>IF(AND(A459="",D459="",G459="",H459=""),"",IF(AND(OR(A459&lt;&gt;"",D459&lt;&gt;""),G459=""),"⏳ PENDENTE (falta qtd. apresentada)",IF(AND(G459&lt;&gt;"",OR(A459="",D459="")),"❌ FALTA Nº RECEBIMENTO/ESCOLA",IF(B459="Nº INVÁLIDO","❌ Nº DE RECEBIMENTO INVÁLIDO",IF(E459="CÓDIGO INVÁLIDO","❌ CÓDIGO DE ESCOLA INVÁLIDO",IF(H459&gt;G459,"❌ REJEITADO MAIOR QUE APRESENTADO",IF(AND(A459&lt;&gt;"",SUMIF($A$60:$A$559,A459,$G$60:$G$559)&gt;INDEX($G$7:$G$56,MATCH(A459,$A$7:$A$56,0))+0.01),"❌ DISTRIBUÍDO MAIS QUE O ACEITO NESSE RECEBIMENTO","OK")))))))</f>
        <v/>
      </c>
      <c r="L459" s="389">
        <f>IF(A459="","",ROW()-59)</f>
        <v/>
      </c>
    </row>
    <row r="460" hidden="1" outlineLevel="1" s="163">
      <c r="A460" s="380" t="n"/>
      <c r="B460" s="372">
        <f>IF(A460="","",IFERROR(INDEX($C$7:$C$56,MATCH(A460,$A$7:$A$56,0)),"Nº INVÁLIDO"))</f>
        <v/>
      </c>
      <c r="C460" s="372">
        <f>IF(A460="","",IFERROR(INDEX($D$7:$D$56,MATCH(A460,$A$7:$A$56,0)),"Nº INVÁLIDO"))</f>
        <v/>
      </c>
      <c r="D460" s="380" t="n"/>
      <c r="E460" s="381">
        <f>IF(D460="","",IFERROR(INDEX('Entrada de Dados'!$B$6:$B$196,MATCH(D460,'Entrada de Dados'!$A$6:$A$196,0)),"CÓDIGO INVÁLIDO"))</f>
        <v/>
      </c>
      <c r="F460" s="373" t="n"/>
      <c r="G460" s="375" t="n"/>
      <c r="H460" s="375" t="n"/>
      <c r="I460" s="376">
        <f>IF(G460="",0,MAX(G460-H460,0))</f>
        <v/>
      </c>
      <c r="J460" s="380" t="n"/>
      <c r="K460" s="162">
        <f>IF(AND(A460="",D460="",G460="",H460=""),"",IF(AND(OR(A460&lt;&gt;"",D460&lt;&gt;""),G460=""),"⏳ PENDENTE (falta qtd. apresentada)",IF(AND(G460&lt;&gt;"",OR(A460="",D460="")),"❌ FALTA Nº RECEBIMENTO/ESCOLA",IF(B460="Nº INVÁLIDO","❌ Nº DE RECEBIMENTO INVÁLIDO",IF(E460="CÓDIGO INVÁLIDO","❌ CÓDIGO DE ESCOLA INVÁLIDO",IF(H460&gt;G460,"❌ REJEITADO MAIOR QUE APRESENTADO",IF(AND(A460&lt;&gt;"",SUMIF($A$60:$A$559,A460,$G$60:$G$559)&gt;INDEX($G$7:$G$56,MATCH(A460,$A$7:$A$56,0))+0.01),"❌ DISTRIBUÍDO MAIS QUE O ACEITO NESSE RECEBIMENTO","OK")))))))</f>
        <v/>
      </c>
      <c r="L460" s="389">
        <f>IF(A460="","",ROW()-59)</f>
        <v/>
      </c>
    </row>
    <row r="461" hidden="1" outlineLevel="1" s="163">
      <c r="A461" s="380" t="n"/>
      <c r="B461" s="372">
        <f>IF(A461="","",IFERROR(INDEX($C$7:$C$56,MATCH(A461,$A$7:$A$56,0)),"Nº INVÁLIDO"))</f>
        <v/>
      </c>
      <c r="C461" s="372">
        <f>IF(A461="","",IFERROR(INDEX($D$7:$D$56,MATCH(A461,$A$7:$A$56,0)),"Nº INVÁLIDO"))</f>
        <v/>
      </c>
      <c r="D461" s="380" t="n"/>
      <c r="E461" s="381">
        <f>IF(D461="","",IFERROR(INDEX('Entrada de Dados'!$B$6:$B$196,MATCH(D461,'Entrada de Dados'!$A$6:$A$196,0)),"CÓDIGO INVÁLIDO"))</f>
        <v/>
      </c>
      <c r="F461" s="373" t="n"/>
      <c r="G461" s="375" t="n"/>
      <c r="H461" s="375" t="n"/>
      <c r="I461" s="376">
        <f>IF(G461="",0,MAX(G461-H461,0))</f>
        <v/>
      </c>
      <c r="J461" s="380" t="n"/>
      <c r="K461" s="162">
        <f>IF(AND(A461="",D461="",G461="",H461=""),"",IF(AND(OR(A461&lt;&gt;"",D461&lt;&gt;""),G461=""),"⏳ PENDENTE (falta qtd. apresentada)",IF(AND(G461&lt;&gt;"",OR(A461="",D461="")),"❌ FALTA Nº RECEBIMENTO/ESCOLA",IF(B461="Nº INVÁLIDO","❌ Nº DE RECEBIMENTO INVÁLIDO",IF(E461="CÓDIGO INVÁLIDO","❌ CÓDIGO DE ESCOLA INVÁLIDO",IF(H461&gt;G461,"❌ REJEITADO MAIOR QUE APRESENTADO",IF(AND(A461&lt;&gt;"",SUMIF($A$60:$A$559,A461,$G$60:$G$559)&gt;INDEX($G$7:$G$56,MATCH(A461,$A$7:$A$56,0))+0.01),"❌ DISTRIBUÍDO MAIS QUE O ACEITO NESSE RECEBIMENTO","OK")))))))</f>
        <v/>
      </c>
      <c r="L461" s="389">
        <f>IF(A461="","",ROW()-59)</f>
        <v/>
      </c>
    </row>
    <row r="462" hidden="1" outlineLevel="1" s="163">
      <c r="A462" s="380" t="n"/>
      <c r="B462" s="372">
        <f>IF(A462="","",IFERROR(INDEX($C$7:$C$56,MATCH(A462,$A$7:$A$56,0)),"Nº INVÁLIDO"))</f>
        <v/>
      </c>
      <c r="C462" s="372">
        <f>IF(A462="","",IFERROR(INDEX($D$7:$D$56,MATCH(A462,$A$7:$A$56,0)),"Nº INVÁLIDO"))</f>
        <v/>
      </c>
      <c r="D462" s="380" t="n"/>
      <c r="E462" s="381">
        <f>IF(D462="","",IFERROR(INDEX('Entrada de Dados'!$B$6:$B$196,MATCH(D462,'Entrada de Dados'!$A$6:$A$196,0)),"CÓDIGO INVÁLIDO"))</f>
        <v/>
      </c>
      <c r="F462" s="373" t="n"/>
      <c r="G462" s="375" t="n"/>
      <c r="H462" s="375" t="n"/>
      <c r="I462" s="376">
        <f>IF(G462="",0,MAX(G462-H462,0))</f>
        <v/>
      </c>
      <c r="J462" s="380" t="n"/>
      <c r="K462" s="162">
        <f>IF(AND(A462="",D462="",G462="",H462=""),"",IF(AND(OR(A462&lt;&gt;"",D462&lt;&gt;""),G462=""),"⏳ PENDENTE (falta qtd. apresentada)",IF(AND(G462&lt;&gt;"",OR(A462="",D462="")),"❌ FALTA Nº RECEBIMENTO/ESCOLA",IF(B462="Nº INVÁLIDO","❌ Nº DE RECEBIMENTO INVÁLIDO",IF(E462="CÓDIGO INVÁLIDO","❌ CÓDIGO DE ESCOLA INVÁLIDO",IF(H462&gt;G462,"❌ REJEITADO MAIOR QUE APRESENTADO",IF(AND(A462&lt;&gt;"",SUMIF($A$60:$A$559,A462,$G$60:$G$559)&gt;INDEX($G$7:$G$56,MATCH(A462,$A$7:$A$56,0))+0.01),"❌ DISTRIBUÍDO MAIS QUE O ACEITO NESSE RECEBIMENTO","OK")))))))</f>
        <v/>
      </c>
      <c r="L462" s="389">
        <f>IF(A462="","",ROW()-59)</f>
        <v/>
      </c>
    </row>
    <row r="463" hidden="1" outlineLevel="1" s="163">
      <c r="A463" s="380" t="n"/>
      <c r="B463" s="372">
        <f>IF(A463="","",IFERROR(INDEX($C$7:$C$56,MATCH(A463,$A$7:$A$56,0)),"Nº INVÁLIDO"))</f>
        <v/>
      </c>
      <c r="C463" s="372">
        <f>IF(A463="","",IFERROR(INDEX($D$7:$D$56,MATCH(A463,$A$7:$A$56,0)),"Nº INVÁLIDO"))</f>
        <v/>
      </c>
      <c r="D463" s="380" t="n"/>
      <c r="E463" s="381">
        <f>IF(D463="","",IFERROR(INDEX('Entrada de Dados'!$B$6:$B$196,MATCH(D463,'Entrada de Dados'!$A$6:$A$196,0)),"CÓDIGO INVÁLIDO"))</f>
        <v/>
      </c>
      <c r="F463" s="373" t="n"/>
      <c r="G463" s="375" t="n"/>
      <c r="H463" s="375" t="n"/>
      <c r="I463" s="376">
        <f>IF(G463="",0,MAX(G463-H463,0))</f>
        <v/>
      </c>
      <c r="J463" s="380" t="n"/>
      <c r="K463" s="162">
        <f>IF(AND(A463="",D463="",G463="",H463=""),"",IF(AND(OR(A463&lt;&gt;"",D463&lt;&gt;""),G463=""),"⏳ PENDENTE (falta qtd. apresentada)",IF(AND(G463&lt;&gt;"",OR(A463="",D463="")),"❌ FALTA Nº RECEBIMENTO/ESCOLA",IF(B463="Nº INVÁLIDO","❌ Nº DE RECEBIMENTO INVÁLIDO",IF(E463="CÓDIGO INVÁLIDO","❌ CÓDIGO DE ESCOLA INVÁLIDO",IF(H463&gt;G463,"❌ REJEITADO MAIOR QUE APRESENTADO",IF(AND(A463&lt;&gt;"",SUMIF($A$60:$A$559,A463,$G$60:$G$559)&gt;INDEX($G$7:$G$56,MATCH(A463,$A$7:$A$56,0))+0.01),"❌ DISTRIBUÍDO MAIS QUE O ACEITO NESSE RECEBIMENTO","OK")))))))</f>
        <v/>
      </c>
      <c r="L463" s="389">
        <f>IF(A463="","",ROW()-59)</f>
        <v/>
      </c>
    </row>
    <row r="464" hidden="1" outlineLevel="1" s="163">
      <c r="A464" s="380" t="n"/>
      <c r="B464" s="372">
        <f>IF(A464="","",IFERROR(INDEX($C$7:$C$56,MATCH(A464,$A$7:$A$56,0)),"Nº INVÁLIDO"))</f>
        <v/>
      </c>
      <c r="C464" s="372">
        <f>IF(A464="","",IFERROR(INDEX($D$7:$D$56,MATCH(A464,$A$7:$A$56,0)),"Nº INVÁLIDO"))</f>
        <v/>
      </c>
      <c r="D464" s="380" t="n"/>
      <c r="E464" s="381">
        <f>IF(D464="","",IFERROR(INDEX('Entrada de Dados'!$B$6:$B$196,MATCH(D464,'Entrada de Dados'!$A$6:$A$196,0)),"CÓDIGO INVÁLIDO"))</f>
        <v/>
      </c>
      <c r="F464" s="373" t="n"/>
      <c r="G464" s="375" t="n"/>
      <c r="H464" s="375" t="n"/>
      <c r="I464" s="376">
        <f>IF(G464="",0,MAX(G464-H464,0))</f>
        <v/>
      </c>
      <c r="J464" s="380" t="n"/>
      <c r="K464" s="162">
        <f>IF(AND(A464="",D464="",G464="",H464=""),"",IF(AND(OR(A464&lt;&gt;"",D464&lt;&gt;""),G464=""),"⏳ PENDENTE (falta qtd. apresentada)",IF(AND(G464&lt;&gt;"",OR(A464="",D464="")),"❌ FALTA Nº RECEBIMENTO/ESCOLA",IF(B464="Nº INVÁLIDO","❌ Nº DE RECEBIMENTO INVÁLIDO",IF(E464="CÓDIGO INVÁLIDO","❌ CÓDIGO DE ESCOLA INVÁLIDO",IF(H464&gt;G464,"❌ REJEITADO MAIOR QUE APRESENTADO",IF(AND(A464&lt;&gt;"",SUMIF($A$60:$A$559,A464,$G$60:$G$559)&gt;INDEX($G$7:$G$56,MATCH(A464,$A$7:$A$56,0))+0.01),"❌ DISTRIBUÍDO MAIS QUE O ACEITO NESSE RECEBIMENTO","OK")))))))</f>
        <v/>
      </c>
      <c r="L464" s="389">
        <f>IF(A464="","",ROW()-59)</f>
        <v/>
      </c>
    </row>
    <row r="465" hidden="1" outlineLevel="1" s="163">
      <c r="A465" s="380" t="n"/>
      <c r="B465" s="372">
        <f>IF(A465="","",IFERROR(INDEX($C$7:$C$56,MATCH(A465,$A$7:$A$56,0)),"Nº INVÁLIDO"))</f>
        <v/>
      </c>
      <c r="C465" s="372">
        <f>IF(A465="","",IFERROR(INDEX($D$7:$D$56,MATCH(A465,$A$7:$A$56,0)),"Nº INVÁLIDO"))</f>
        <v/>
      </c>
      <c r="D465" s="380" t="n"/>
      <c r="E465" s="381">
        <f>IF(D465="","",IFERROR(INDEX('Entrada de Dados'!$B$6:$B$196,MATCH(D465,'Entrada de Dados'!$A$6:$A$196,0)),"CÓDIGO INVÁLIDO"))</f>
        <v/>
      </c>
      <c r="F465" s="373" t="n"/>
      <c r="G465" s="375" t="n"/>
      <c r="H465" s="375" t="n"/>
      <c r="I465" s="376">
        <f>IF(G465="",0,MAX(G465-H465,0))</f>
        <v/>
      </c>
      <c r="J465" s="380" t="n"/>
      <c r="K465" s="162">
        <f>IF(AND(A465="",D465="",G465="",H465=""),"",IF(AND(OR(A465&lt;&gt;"",D465&lt;&gt;""),G465=""),"⏳ PENDENTE (falta qtd. apresentada)",IF(AND(G465&lt;&gt;"",OR(A465="",D465="")),"❌ FALTA Nº RECEBIMENTO/ESCOLA",IF(B465="Nº INVÁLIDO","❌ Nº DE RECEBIMENTO INVÁLIDO",IF(E465="CÓDIGO INVÁLIDO","❌ CÓDIGO DE ESCOLA INVÁLIDO",IF(H465&gt;G465,"❌ REJEITADO MAIOR QUE APRESENTADO",IF(AND(A465&lt;&gt;"",SUMIF($A$60:$A$559,A465,$G$60:$G$559)&gt;INDEX($G$7:$G$56,MATCH(A465,$A$7:$A$56,0))+0.01),"❌ DISTRIBUÍDO MAIS QUE O ACEITO NESSE RECEBIMENTO","OK")))))))</f>
        <v/>
      </c>
      <c r="L465" s="389">
        <f>IF(A465="","",ROW()-59)</f>
        <v/>
      </c>
    </row>
    <row r="466" hidden="1" outlineLevel="1" s="163">
      <c r="A466" s="380" t="n"/>
      <c r="B466" s="372">
        <f>IF(A466="","",IFERROR(INDEX($C$7:$C$56,MATCH(A466,$A$7:$A$56,0)),"Nº INVÁLIDO"))</f>
        <v/>
      </c>
      <c r="C466" s="372">
        <f>IF(A466="","",IFERROR(INDEX($D$7:$D$56,MATCH(A466,$A$7:$A$56,0)),"Nº INVÁLIDO"))</f>
        <v/>
      </c>
      <c r="D466" s="380" t="n"/>
      <c r="E466" s="381">
        <f>IF(D466="","",IFERROR(INDEX('Entrada de Dados'!$B$6:$B$196,MATCH(D466,'Entrada de Dados'!$A$6:$A$196,0)),"CÓDIGO INVÁLIDO"))</f>
        <v/>
      </c>
      <c r="F466" s="373" t="n"/>
      <c r="G466" s="375" t="n"/>
      <c r="H466" s="375" t="n"/>
      <c r="I466" s="376">
        <f>IF(G466="",0,MAX(G466-H466,0))</f>
        <v/>
      </c>
      <c r="J466" s="380" t="n"/>
      <c r="K466" s="162">
        <f>IF(AND(A466="",D466="",G466="",H466=""),"",IF(AND(OR(A466&lt;&gt;"",D466&lt;&gt;""),G466=""),"⏳ PENDENTE (falta qtd. apresentada)",IF(AND(G466&lt;&gt;"",OR(A466="",D466="")),"❌ FALTA Nº RECEBIMENTO/ESCOLA",IF(B466="Nº INVÁLIDO","❌ Nº DE RECEBIMENTO INVÁLIDO",IF(E466="CÓDIGO INVÁLIDO","❌ CÓDIGO DE ESCOLA INVÁLIDO",IF(H466&gt;G466,"❌ REJEITADO MAIOR QUE APRESENTADO",IF(AND(A466&lt;&gt;"",SUMIF($A$60:$A$559,A466,$G$60:$G$559)&gt;INDEX($G$7:$G$56,MATCH(A466,$A$7:$A$56,0))+0.01),"❌ DISTRIBUÍDO MAIS QUE O ACEITO NESSE RECEBIMENTO","OK")))))))</f>
        <v/>
      </c>
      <c r="L466" s="389">
        <f>IF(A466="","",ROW()-59)</f>
        <v/>
      </c>
    </row>
    <row r="467" hidden="1" outlineLevel="1" s="163">
      <c r="A467" s="380" t="n"/>
      <c r="B467" s="372">
        <f>IF(A467="","",IFERROR(INDEX($C$7:$C$56,MATCH(A467,$A$7:$A$56,0)),"Nº INVÁLIDO"))</f>
        <v/>
      </c>
      <c r="C467" s="372">
        <f>IF(A467="","",IFERROR(INDEX($D$7:$D$56,MATCH(A467,$A$7:$A$56,0)),"Nº INVÁLIDO"))</f>
        <v/>
      </c>
      <c r="D467" s="380" t="n"/>
      <c r="E467" s="381">
        <f>IF(D467="","",IFERROR(INDEX('Entrada de Dados'!$B$6:$B$196,MATCH(D467,'Entrada de Dados'!$A$6:$A$196,0)),"CÓDIGO INVÁLIDO"))</f>
        <v/>
      </c>
      <c r="F467" s="373" t="n"/>
      <c r="G467" s="375" t="n"/>
      <c r="H467" s="375" t="n"/>
      <c r="I467" s="376">
        <f>IF(G467="",0,MAX(G467-H467,0))</f>
        <v/>
      </c>
      <c r="J467" s="380" t="n"/>
      <c r="K467" s="162">
        <f>IF(AND(A467="",D467="",G467="",H467=""),"",IF(AND(OR(A467&lt;&gt;"",D467&lt;&gt;""),G467=""),"⏳ PENDENTE (falta qtd. apresentada)",IF(AND(G467&lt;&gt;"",OR(A467="",D467="")),"❌ FALTA Nº RECEBIMENTO/ESCOLA",IF(B467="Nº INVÁLIDO","❌ Nº DE RECEBIMENTO INVÁLIDO",IF(E467="CÓDIGO INVÁLIDO","❌ CÓDIGO DE ESCOLA INVÁLIDO",IF(H467&gt;G467,"❌ REJEITADO MAIOR QUE APRESENTADO",IF(AND(A467&lt;&gt;"",SUMIF($A$60:$A$559,A467,$G$60:$G$559)&gt;INDEX($G$7:$G$56,MATCH(A467,$A$7:$A$56,0))+0.01),"❌ DISTRIBUÍDO MAIS QUE O ACEITO NESSE RECEBIMENTO","OK")))))))</f>
        <v/>
      </c>
      <c r="L467" s="389">
        <f>IF(A467="","",ROW()-59)</f>
        <v/>
      </c>
    </row>
    <row r="468" hidden="1" outlineLevel="1" s="163">
      <c r="A468" s="380" t="n"/>
      <c r="B468" s="372">
        <f>IF(A468="","",IFERROR(INDEX($C$7:$C$56,MATCH(A468,$A$7:$A$56,0)),"Nº INVÁLIDO"))</f>
        <v/>
      </c>
      <c r="C468" s="372">
        <f>IF(A468="","",IFERROR(INDEX($D$7:$D$56,MATCH(A468,$A$7:$A$56,0)),"Nº INVÁLIDO"))</f>
        <v/>
      </c>
      <c r="D468" s="380" t="n"/>
      <c r="E468" s="381">
        <f>IF(D468="","",IFERROR(INDEX('Entrada de Dados'!$B$6:$B$196,MATCH(D468,'Entrada de Dados'!$A$6:$A$196,0)),"CÓDIGO INVÁLIDO"))</f>
        <v/>
      </c>
      <c r="F468" s="373" t="n"/>
      <c r="G468" s="375" t="n"/>
      <c r="H468" s="375" t="n"/>
      <c r="I468" s="376">
        <f>IF(G468="",0,MAX(G468-H468,0))</f>
        <v/>
      </c>
      <c r="J468" s="380" t="n"/>
      <c r="K468" s="162">
        <f>IF(AND(A468="",D468="",G468="",H468=""),"",IF(AND(OR(A468&lt;&gt;"",D468&lt;&gt;""),G468=""),"⏳ PENDENTE (falta qtd. apresentada)",IF(AND(G468&lt;&gt;"",OR(A468="",D468="")),"❌ FALTA Nº RECEBIMENTO/ESCOLA",IF(B468="Nº INVÁLIDO","❌ Nº DE RECEBIMENTO INVÁLIDO",IF(E468="CÓDIGO INVÁLIDO","❌ CÓDIGO DE ESCOLA INVÁLIDO",IF(H468&gt;G468,"❌ REJEITADO MAIOR QUE APRESENTADO",IF(AND(A468&lt;&gt;"",SUMIF($A$60:$A$559,A468,$G$60:$G$559)&gt;INDEX($G$7:$G$56,MATCH(A468,$A$7:$A$56,0))+0.01),"❌ DISTRIBUÍDO MAIS QUE O ACEITO NESSE RECEBIMENTO","OK")))))))</f>
        <v/>
      </c>
      <c r="L468" s="389">
        <f>IF(A468="","",ROW()-59)</f>
        <v/>
      </c>
    </row>
    <row r="469" hidden="1" outlineLevel="1" s="163">
      <c r="A469" s="380" t="n"/>
      <c r="B469" s="372">
        <f>IF(A469="","",IFERROR(INDEX($C$7:$C$56,MATCH(A469,$A$7:$A$56,0)),"Nº INVÁLIDO"))</f>
        <v/>
      </c>
      <c r="C469" s="372">
        <f>IF(A469="","",IFERROR(INDEX($D$7:$D$56,MATCH(A469,$A$7:$A$56,0)),"Nº INVÁLIDO"))</f>
        <v/>
      </c>
      <c r="D469" s="380" t="n"/>
      <c r="E469" s="381">
        <f>IF(D469="","",IFERROR(INDEX('Entrada de Dados'!$B$6:$B$196,MATCH(D469,'Entrada de Dados'!$A$6:$A$196,0)),"CÓDIGO INVÁLIDO"))</f>
        <v/>
      </c>
      <c r="F469" s="373" t="n"/>
      <c r="G469" s="375" t="n"/>
      <c r="H469" s="375" t="n"/>
      <c r="I469" s="376">
        <f>IF(G469="",0,MAX(G469-H469,0))</f>
        <v/>
      </c>
      <c r="J469" s="380" t="n"/>
      <c r="K469" s="162">
        <f>IF(AND(A469="",D469="",G469="",H469=""),"",IF(AND(OR(A469&lt;&gt;"",D469&lt;&gt;""),G469=""),"⏳ PENDENTE (falta qtd. apresentada)",IF(AND(G469&lt;&gt;"",OR(A469="",D469="")),"❌ FALTA Nº RECEBIMENTO/ESCOLA",IF(B469="Nº INVÁLIDO","❌ Nº DE RECEBIMENTO INVÁLIDO",IF(E469="CÓDIGO INVÁLIDO","❌ CÓDIGO DE ESCOLA INVÁLIDO",IF(H469&gt;G469,"❌ REJEITADO MAIOR QUE APRESENTADO",IF(AND(A469&lt;&gt;"",SUMIF($A$60:$A$559,A469,$G$60:$G$559)&gt;INDEX($G$7:$G$56,MATCH(A469,$A$7:$A$56,0))+0.01),"❌ DISTRIBUÍDO MAIS QUE O ACEITO NESSE RECEBIMENTO","OK")))))))</f>
        <v/>
      </c>
      <c r="L469" s="389">
        <f>IF(A469="","",ROW()-59)</f>
        <v/>
      </c>
    </row>
    <row r="470" hidden="1" outlineLevel="1" s="163">
      <c r="A470" s="380" t="n"/>
      <c r="B470" s="372">
        <f>IF(A470="","",IFERROR(INDEX($C$7:$C$56,MATCH(A470,$A$7:$A$56,0)),"Nº INVÁLIDO"))</f>
        <v/>
      </c>
      <c r="C470" s="372">
        <f>IF(A470="","",IFERROR(INDEX($D$7:$D$56,MATCH(A470,$A$7:$A$56,0)),"Nº INVÁLIDO"))</f>
        <v/>
      </c>
      <c r="D470" s="380" t="n"/>
      <c r="E470" s="381">
        <f>IF(D470="","",IFERROR(INDEX('Entrada de Dados'!$B$6:$B$196,MATCH(D470,'Entrada de Dados'!$A$6:$A$196,0)),"CÓDIGO INVÁLIDO"))</f>
        <v/>
      </c>
      <c r="F470" s="373" t="n"/>
      <c r="G470" s="375" t="n"/>
      <c r="H470" s="375" t="n"/>
      <c r="I470" s="376">
        <f>IF(G470="",0,MAX(G470-H470,0))</f>
        <v/>
      </c>
      <c r="J470" s="380" t="n"/>
      <c r="K470" s="162">
        <f>IF(AND(A470="",D470="",G470="",H470=""),"",IF(AND(OR(A470&lt;&gt;"",D470&lt;&gt;""),G470=""),"⏳ PENDENTE (falta qtd. apresentada)",IF(AND(G470&lt;&gt;"",OR(A470="",D470="")),"❌ FALTA Nº RECEBIMENTO/ESCOLA",IF(B470="Nº INVÁLIDO","❌ Nº DE RECEBIMENTO INVÁLIDO",IF(E470="CÓDIGO INVÁLIDO","❌ CÓDIGO DE ESCOLA INVÁLIDO",IF(H470&gt;G470,"❌ REJEITADO MAIOR QUE APRESENTADO",IF(AND(A470&lt;&gt;"",SUMIF($A$60:$A$559,A470,$G$60:$G$559)&gt;INDEX($G$7:$G$56,MATCH(A470,$A$7:$A$56,0))+0.01),"❌ DISTRIBUÍDO MAIS QUE O ACEITO NESSE RECEBIMENTO","OK")))))))</f>
        <v/>
      </c>
      <c r="L470" s="389">
        <f>IF(A470="","",ROW()-59)</f>
        <v/>
      </c>
    </row>
    <row r="471" hidden="1" outlineLevel="1" s="163">
      <c r="A471" s="380" t="n"/>
      <c r="B471" s="372">
        <f>IF(A471="","",IFERROR(INDEX($C$7:$C$56,MATCH(A471,$A$7:$A$56,0)),"Nº INVÁLIDO"))</f>
        <v/>
      </c>
      <c r="C471" s="372">
        <f>IF(A471="","",IFERROR(INDEX($D$7:$D$56,MATCH(A471,$A$7:$A$56,0)),"Nº INVÁLIDO"))</f>
        <v/>
      </c>
      <c r="D471" s="380" t="n"/>
      <c r="E471" s="381">
        <f>IF(D471="","",IFERROR(INDEX('Entrada de Dados'!$B$6:$B$196,MATCH(D471,'Entrada de Dados'!$A$6:$A$196,0)),"CÓDIGO INVÁLIDO"))</f>
        <v/>
      </c>
      <c r="F471" s="373" t="n"/>
      <c r="G471" s="375" t="n"/>
      <c r="H471" s="375" t="n"/>
      <c r="I471" s="376">
        <f>IF(G471="",0,MAX(G471-H471,0))</f>
        <v/>
      </c>
      <c r="J471" s="380" t="n"/>
      <c r="K471" s="162">
        <f>IF(AND(A471="",D471="",G471="",H471=""),"",IF(AND(OR(A471&lt;&gt;"",D471&lt;&gt;""),G471=""),"⏳ PENDENTE (falta qtd. apresentada)",IF(AND(G471&lt;&gt;"",OR(A471="",D471="")),"❌ FALTA Nº RECEBIMENTO/ESCOLA",IF(B471="Nº INVÁLIDO","❌ Nº DE RECEBIMENTO INVÁLIDO",IF(E471="CÓDIGO INVÁLIDO","❌ CÓDIGO DE ESCOLA INVÁLIDO",IF(H471&gt;G471,"❌ REJEITADO MAIOR QUE APRESENTADO",IF(AND(A471&lt;&gt;"",SUMIF($A$60:$A$559,A471,$G$60:$G$559)&gt;INDEX($G$7:$G$56,MATCH(A471,$A$7:$A$56,0))+0.01),"❌ DISTRIBUÍDO MAIS QUE O ACEITO NESSE RECEBIMENTO","OK")))))))</f>
        <v/>
      </c>
      <c r="L471" s="389">
        <f>IF(A471="","",ROW()-59)</f>
        <v/>
      </c>
    </row>
    <row r="472" hidden="1" outlineLevel="1" s="163">
      <c r="A472" s="380" t="n"/>
      <c r="B472" s="372">
        <f>IF(A472="","",IFERROR(INDEX($C$7:$C$56,MATCH(A472,$A$7:$A$56,0)),"Nº INVÁLIDO"))</f>
        <v/>
      </c>
      <c r="C472" s="372">
        <f>IF(A472="","",IFERROR(INDEX($D$7:$D$56,MATCH(A472,$A$7:$A$56,0)),"Nº INVÁLIDO"))</f>
        <v/>
      </c>
      <c r="D472" s="380" t="n"/>
      <c r="E472" s="381">
        <f>IF(D472="","",IFERROR(INDEX('Entrada de Dados'!$B$6:$B$196,MATCH(D472,'Entrada de Dados'!$A$6:$A$196,0)),"CÓDIGO INVÁLIDO"))</f>
        <v/>
      </c>
      <c r="F472" s="373" t="n"/>
      <c r="G472" s="375" t="n"/>
      <c r="H472" s="375" t="n"/>
      <c r="I472" s="376">
        <f>IF(G472="",0,MAX(G472-H472,0))</f>
        <v/>
      </c>
      <c r="J472" s="380" t="n"/>
      <c r="K472" s="162">
        <f>IF(AND(A472="",D472="",G472="",H472=""),"",IF(AND(OR(A472&lt;&gt;"",D472&lt;&gt;""),G472=""),"⏳ PENDENTE (falta qtd. apresentada)",IF(AND(G472&lt;&gt;"",OR(A472="",D472="")),"❌ FALTA Nº RECEBIMENTO/ESCOLA",IF(B472="Nº INVÁLIDO","❌ Nº DE RECEBIMENTO INVÁLIDO",IF(E472="CÓDIGO INVÁLIDO","❌ CÓDIGO DE ESCOLA INVÁLIDO",IF(H472&gt;G472,"❌ REJEITADO MAIOR QUE APRESENTADO",IF(AND(A472&lt;&gt;"",SUMIF($A$60:$A$559,A472,$G$60:$G$559)&gt;INDEX($G$7:$G$56,MATCH(A472,$A$7:$A$56,0))+0.01),"❌ DISTRIBUÍDO MAIS QUE O ACEITO NESSE RECEBIMENTO","OK")))))))</f>
        <v/>
      </c>
      <c r="L472" s="389">
        <f>IF(A472="","",ROW()-59)</f>
        <v/>
      </c>
    </row>
    <row r="473" hidden="1" outlineLevel="1" s="163">
      <c r="A473" s="380" t="n"/>
      <c r="B473" s="372">
        <f>IF(A473="","",IFERROR(INDEX($C$7:$C$56,MATCH(A473,$A$7:$A$56,0)),"Nº INVÁLIDO"))</f>
        <v/>
      </c>
      <c r="C473" s="372">
        <f>IF(A473="","",IFERROR(INDEX($D$7:$D$56,MATCH(A473,$A$7:$A$56,0)),"Nº INVÁLIDO"))</f>
        <v/>
      </c>
      <c r="D473" s="380" t="n"/>
      <c r="E473" s="381">
        <f>IF(D473="","",IFERROR(INDEX('Entrada de Dados'!$B$6:$B$196,MATCH(D473,'Entrada de Dados'!$A$6:$A$196,0)),"CÓDIGO INVÁLIDO"))</f>
        <v/>
      </c>
      <c r="F473" s="373" t="n"/>
      <c r="G473" s="375" t="n"/>
      <c r="H473" s="375" t="n"/>
      <c r="I473" s="376">
        <f>IF(G473="",0,MAX(G473-H473,0))</f>
        <v/>
      </c>
      <c r="J473" s="380" t="n"/>
      <c r="K473" s="162">
        <f>IF(AND(A473="",D473="",G473="",H473=""),"",IF(AND(OR(A473&lt;&gt;"",D473&lt;&gt;""),G473=""),"⏳ PENDENTE (falta qtd. apresentada)",IF(AND(G473&lt;&gt;"",OR(A473="",D473="")),"❌ FALTA Nº RECEBIMENTO/ESCOLA",IF(B473="Nº INVÁLIDO","❌ Nº DE RECEBIMENTO INVÁLIDO",IF(E473="CÓDIGO INVÁLIDO","❌ CÓDIGO DE ESCOLA INVÁLIDO",IF(H473&gt;G473,"❌ REJEITADO MAIOR QUE APRESENTADO",IF(AND(A473&lt;&gt;"",SUMIF($A$60:$A$559,A473,$G$60:$G$559)&gt;INDEX($G$7:$G$56,MATCH(A473,$A$7:$A$56,0))+0.01),"❌ DISTRIBUÍDO MAIS QUE O ACEITO NESSE RECEBIMENTO","OK")))))))</f>
        <v/>
      </c>
      <c r="L473" s="389">
        <f>IF(A473="","",ROW()-59)</f>
        <v/>
      </c>
    </row>
    <row r="474" hidden="1" outlineLevel="1" s="163">
      <c r="A474" s="380" t="n"/>
      <c r="B474" s="372">
        <f>IF(A474="","",IFERROR(INDEX($C$7:$C$56,MATCH(A474,$A$7:$A$56,0)),"Nº INVÁLIDO"))</f>
        <v/>
      </c>
      <c r="C474" s="372">
        <f>IF(A474="","",IFERROR(INDEX($D$7:$D$56,MATCH(A474,$A$7:$A$56,0)),"Nº INVÁLIDO"))</f>
        <v/>
      </c>
      <c r="D474" s="380" t="n"/>
      <c r="E474" s="381">
        <f>IF(D474="","",IFERROR(INDEX('Entrada de Dados'!$B$6:$B$196,MATCH(D474,'Entrada de Dados'!$A$6:$A$196,0)),"CÓDIGO INVÁLIDO"))</f>
        <v/>
      </c>
      <c r="F474" s="373" t="n"/>
      <c r="G474" s="375" t="n"/>
      <c r="H474" s="375" t="n"/>
      <c r="I474" s="376">
        <f>IF(G474="",0,MAX(G474-H474,0))</f>
        <v/>
      </c>
      <c r="J474" s="380" t="n"/>
      <c r="K474" s="162">
        <f>IF(AND(A474="",D474="",G474="",H474=""),"",IF(AND(OR(A474&lt;&gt;"",D474&lt;&gt;""),G474=""),"⏳ PENDENTE (falta qtd. apresentada)",IF(AND(G474&lt;&gt;"",OR(A474="",D474="")),"❌ FALTA Nº RECEBIMENTO/ESCOLA",IF(B474="Nº INVÁLIDO","❌ Nº DE RECEBIMENTO INVÁLIDO",IF(E474="CÓDIGO INVÁLIDO","❌ CÓDIGO DE ESCOLA INVÁLIDO",IF(H474&gt;G474,"❌ REJEITADO MAIOR QUE APRESENTADO",IF(AND(A474&lt;&gt;"",SUMIF($A$60:$A$559,A474,$G$60:$G$559)&gt;INDEX($G$7:$G$56,MATCH(A474,$A$7:$A$56,0))+0.01),"❌ DISTRIBUÍDO MAIS QUE O ACEITO NESSE RECEBIMENTO","OK")))))))</f>
        <v/>
      </c>
      <c r="L474" s="389">
        <f>IF(A474="","",ROW()-59)</f>
        <v/>
      </c>
    </row>
    <row r="475" hidden="1" outlineLevel="1" s="163">
      <c r="A475" s="380" t="n"/>
      <c r="B475" s="372">
        <f>IF(A475="","",IFERROR(INDEX($C$7:$C$56,MATCH(A475,$A$7:$A$56,0)),"Nº INVÁLIDO"))</f>
        <v/>
      </c>
      <c r="C475" s="372">
        <f>IF(A475="","",IFERROR(INDEX($D$7:$D$56,MATCH(A475,$A$7:$A$56,0)),"Nº INVÁLIDO"))</f>
        <v/>
      </c>
      <c r="D475" s="380" t="n"/>
      <c r="E475" s="381">
        <f>IF(D475="","",IFERROR(INDEX('Entrada de Dados'!$B$6:$B$196,MATCH(D475,'Entrada de Dados'!$A$6:$A$196,0)),"CÓDIGO INVÁLIDO"))</f>
        <v/>
      </c>
      <c r="F475" s="373" t="n"/>
      <c r="G475" s="375" t="n"/>
      <c r="H475" s="375" t="n"/>
      <c r="I475" s="376">
        <f>IF(G475="",0,MAX(G475-H475,0))</f>
        <v/>
      </c>
      <c r="J475" s="380" t="n"/>
      <c r="K475" s="162">
        <f>IF(AND(A475="",D475="",G475="",H475=""),"",IF(AND(OR(A475&lt;&gt;"",D475&lt;&gt;""),G475=""),"⏳ PENDENTE (falta qtd. apresentada)",IF(AND(G475&lt;&gt;"",OR(A475="",D475="")),"❌ FALTA Nº RECEBIMENTO/ESCOLA",IF(B475="Nº INVÁLIDO","❌ Nº DE RECEBIMENTO INVÁLIDO",IF(E475="CÓDIGO INVÁLIDO","❌ CÓDIGO DE ESCOLA INVÁLIDO",IF(H475&gt;G475,"❌ REJEITADO MAIOR QUE APRESENTADO",IF(AND(A475&lt;&gt;"",SUMIF($A$60:$A$559,A475,$G$60:$G$559)&gt;INDEX($G$7:$G$56,MATCH(A475,$A$7:$A$56,0))+0.01),"❌ DISTRIBUÍDO MAIS QUE O ACEITO NESSE RECEBIMENTO","OK")))))))</f>
        <v/>
      </c>
      <c r="L475" s="389">
        <f>IF(A475="","",ROW()-59)</f>
        <v/>
      </c>
    </row>
    <row r="476" hidden="1" outlineLevel="1" s="163">
      <c r="A476" s="380" t="n"/>
      <c r="B476" s="372">
        <f>IF(A476="","",IFERROR(INDEX($C$7:$C$56,MATCH(A476,$A$7:$A$56,0)),"Nº INVÁLIDO"))</f>
        <v/>
      </c>
      <c r="C476" s="372">
        <f>IF(A476="","",IFERROR(INDEX($D$7:$D$56,MATCH(A476,$A$7:$A$56,0)),"Nº INVÁLIDO"))</f>
        <v/>
      </c>
      <c r="D476" s="380" t="n"/>
      <c r="E476" s="381">
        <f>IF(D476="","",IFERROR(INDEX('Entrada de Dados'!$B$6:$B$196,MATCH(D476,'Entrada de Dados'!$A$6:$A$196,0)),"CÓDIGO INVÁLIDO"))</f>
        <v/>
      </c>
      <c r="F476" s="373" t="n"/>
      <c r="G476" s="375" t="n"/>
      <c r="H476" s="375" t="n"/>
      <c r="I476" s="376">
        <f>IF(G476="",0,MAX(G476-H476,0))</f>
        <v/>
      </c>
      <c r="J476" s="380" t="n"/>
      <c r="K476" s="162">
        <f>IF(AND(A476="",D476="",G476="",H476=""),"",IF(AND(OR(A476&lt;&gt;"",D476&lt;&gt;""),G476=""),"⏳ PENDENTE (falta qtd. apresentada)",IF(AND(G476&lt;&gt;"",OR(A476="",D476="")),"❌ FALTA Nº RECEBIMENTO/ESCOLA",IF(B476="Nº INVÁLIDO","❌ Nº DE RECEBIMENTO INVÁLIDO",IF(E476="CÓDIGO INVÁLIDO","❌ CÓDIGO DE ESCOLA INVÁLIDO",IF(H476&gt;G476,"❌ REJEITADO MAIOR QUE APRESENTADO",IF(AND(A476&lt;&gt;"",SUMIF($A$60:$A$559,A476,$G$60:$G$559)&gt;INDEX($G$7:$G$56,MATCH(A476,$A$7:$A$56,0))+0.01),"❌ DISTRIBUÍDO MAIS QUE O ACEITO NESSE RECEBIMENTO","OK")))))))</f>
        <v/>
      </c>
      <c r="L476" s="389">
        <f>IF(A476="","",ROW()-59)</f>
        <v/>
      </c>
    </row>
    <row r="477" hidden="1" outlineLevel="1" s="163">
      <c r="A477" s="380" t="n"/>
      <c r="B477" s="372">
        <f>IF(A477="","",IFERROR(INDEX($C$7:$C$56,MATCH(A477,$A$7:$A$56,0)),"Nº INVÁLIDO"))</f>
        <v/>
      </c>
      <c r="C477" s="372">
        <f>IF(A477="","",IFERROR(INDEX($D$7:$D$56,MATCH(A477,$A$7:$A$56,0)),"Nº INVÁLIDO"))</f>
        <v/>
      </c>
      <c r="D477" s="380" t="n"/>
      <c r="E477" s="381">
        <f>IF(D477="","",IFERROR(INDEX('Entrada de Dados'!$B$6:$B$196,MATCH(D477,'Entrada de Dados'!$A$6:$A$196,0)),"CÓDIGO INVÁLIDO"))</f>
        <v/>
      </c>
      <c r="F477" s="373" t="n"/>
      <c r="G477" s="375" t="n"/>
      <c r="H477" s="375" t="n"/>
      <c r="I477" s="376">
        <f>IF(G477="",0,MAX(G477-H477,0))</f>
        <v/>
      </c>
      <c r="J477" s="380" t="n"/>
      <c r="K477" s="162">
        <f>IF(AND(A477="",D477="",G477="",H477=""),"",IF(AND(OR(A477&lt;&gt;"",D477&lt;&gt;""),G477=""),"⏳ PENDENTE (falta qtd. apresentada)",IF(AND(G477&lt;&gt;"",OR(A477="",D477="")),"❌ FALTA Nº RECEBIMENTO/ESCOLA",IF(B477="Nº INVÁLIDO","❌ Nº DE RECEBIMENTO INVÁLIDO",IF(E477="CÓDIGO INVÁLIDO","❌ CÓDIGO DE ESCOLA INVÁLIDO",IF(H477&gt;G477,"❌ REJEITADO MAIOR QUE APRESENTADO",IF(AND(A477&lt;&gt;"",SUMIF($A$60:$A$559,A477,$G$60:$G$559)&gt;INDEX($G$7:$G$56,MATCH(A477,$A$7:$A$56,0))+0.01),"❌ DISTRIBUÍDO MAIS QUE O ACEITO NESSE RECEBIMENTO","OK")))))))</f>
        <v/>
      </c>
      <c r="L477" s="389">
        <f>IF(A477="","",ROW()-59)</f>
        <v/>
      </c>
    </row>
    <row r="478" hidden="1" outlineLevel="1" s="163">
      <c r="A478" s="380" t="n"/>
      <c r="B478" s="372">
        <f>IF(A478="","",IFERROR(INDEX($C$7:$C$56,MATCH(A478,$A$7:$A$56,0)),"Nº INVÁLIDO"))</f>
        <v/>
      </c>
      <c r="C478" s="372">
        <f>IF(A478="","",IFERROR(INDEX($D$7:$D$56,MATCH(A478,$A$7:$A$56,0)),"Nº INVÁLIDO"))</f>
        <v/>
      </c>
      <c r="D478" s="380" t="n"/>
      <c r="E478" s="381">
        <f>IF(D478="","",IFERROR(INDEX('Entrada de Dados'!$B$6:$B$196,MATCH(D478,'Entrada de Dados'!$A$6:$A$196,0)),"CÓDIGO INVÁLIDO"))</f>
        <v/>
      </c>
      <c r="F478" s="373" t="n"/>
      <c r="G478" s="375" t="n"/>
      <c r="H478" s="375" t="n"/>
      <c r="I478" s="376">
        <f>IF(G478="",0,MAX(G478-H478,0))</f>
        <v/>
      </c>
      <c r="J478" s="380" t="n"/>
      <c r="K478" s="162">
        <f>IF(AND(A478="",D478="",G478="",H478=""),"",IF(AND(OR(A478&lt;&gt;"",D478&lt;&gt;""),G478=""),"⏳ PENDENTE (falta qtd. apresentada)",IF(AND(G478&lt;&gt;"",OR(A478="",D478="")),"❌ FALTA Nº RECEBIMENTO/ESCOLA",IF(B478="Nº INVÁLIDO","❌ Nº DE RECEBIMENTO INVÁLIDO",IF(E478="CÓDIGO INVÁLIDO","❌ CÓDIGO DE ESCOLA INVÁLIDO",IF(H478&gt;G478,"❌ REJEITADO MAIOR QUE APRESENTADO",IF(AND(A478&lt;&gt;"",SUMIF($A$60:$A$559,A478,$G$60:$G$559)&gt;INDEX($G$7:$G$56,MATCH(A478,$A$7:$A$56,0))+0.01),"❌ DISTRIBUÍDO MAIS QUE O ACEITO NESSE RECEBIMENTO","OK")))))))</f>
        <v/>
      </c>
      <c r="L478" s="389">
        <f>IF(A478="","",ROW()-59)</f>
        <v/>
      </c>
    </row>
    <row r="479" hidden="1" outlineLevel="1" s="163">
      <c r="A479" s="380" t="n"/>
      <c r="B479" s="372">
        <f>IF(A479="","",IFERROR(INDEX($C$7:$C$56,MATCH(A479,$A$7:$A$56,0)),"Nº INVÁLIDO"))</f>
        <v/>
      </c>
      <c r="C479" s="372">
        <f>IF(A479="","",IFERROR(INDEX($D$7:$D$56,MATCH(A479,$A$7:$A$56,0)),"Nº INVÁLIDO"))</f>
        <v/>
      </c>
      <c r="D479" s="380" t="n"/>
      <c r="E479" s="381">
        <f>IF(D479="","",IFERROR(INDEX('Entrada de Dados'!$B$6:$B$196,MATCH(D479,'Entrada de Dados'!$A$6:$A$196,0)),"CÓDIGO INVÁLIDO"))</f>
        <v/>
      </c>
      <c r="F479" s="373" t="n"/>
      <c r="G479" s="375" t="n"/>
      <c r="H479" s="375" t="n"/>
      <c r="I479" s="376">
        <f>IF(G479="",0,MAX(G479-H479,0))</f>
        <v/>
      </c>
      <c r="J479" s="380" t="n"/>
      <c r="K479" s="162">
        <f>IF(AND(A479="",D479="",G479="",H479=""),"",IF(AND(OR(A479&lt;&gt;"",D479&lt;&gt;""),G479=""),"⏳ PENDENTE (falta qtd. apresentada)",IF(AND(G479&lt;&gt;"",OR(A479="",D479="")),"❌ FALTA Nº RECEBIMENTO/ESCOLA",IF(B479="Nº INVÁLIDO","❌ Nº DE RECEBIMENTO INVÁLIDO",IF(E479="CÓDIGO INVÁLIDO","❌ CÓDIGO DE ESCOLA INVÁLIDO",IF(H479&gt;G479,"❌ REJEITADO MAIOR QUE APRESENTADO",IF(AND(A479&lt;&gt;"",SUMIF($A$60:$A$559,A479,$G$60:$G$559)&gt;INDEX($G$7:$G$56,MATCH(A479,$A$7:$A$56,0))+0.01),"❌ DISTRIBUÍDO MAIS QUE O ACEITO NESSE RECEBIMENTO","OK")))))))</f>
        <v/>
      </c>
      <c r="L479" s="389">
        <f>IF(A479="","",ROW()-59)</f>
        <v/>
      </c>
    </row>
    <row r="480" hidden="1" outlineLevel="1" s="163">
      <c r="A480" s="380" t="n"/>
      <c r="B480" s="372">
        <f>IF(A480="","",IFERROR(INDEX($C$7:$C$56,MATCH(A480,$A$7:$A$56,0)),"Nº INVÁLIDO"))</f>
        <v/>
      </c>
      <c r="C480" s="372">
        <f>IF(A480="","",IFERROR(INDEX($D$7:$D$56,MATCH(A480,$A$7:$A$56,0)),"Nº INVÁLIDO"))</f>
        <v/>
      </c>
      <c r="D480" s="380" t="n"/>
      <c r="E480" s="381">
        <f>IF(D480="","",IFERROR(INDEX('Entrada de Dados'!$B$6:$B$196,MATCH(D480,'Entrada de Dados'!$A$6:$A$196,0)),"CÓDIGO INVÁLIDO"))</f>
        <v/>
      </c>
      <c r="F480" s="373" t="n"/>
      <c r="G480" s="375" t="n"/>
      <c r="H480" s="375" t="n"/>
      <c r="I480" s="376">
        <f>IF(G480="",0,MAX(G480-H480,0))</f>
        <v/>
      </c>
      <c r="J480" s="380" t="n"/>
      <c r="K480" s="162">
        <f>IF(AND(A480="",D480="",G480="",H480=""),"",IF(AND(OR(A480&lt;&gt;"",D480&lt;&gt;""),G480=""),"⏳ PENDENTE (falta qtd. apresentada)",IF(AND(G480&lt;&gt;"",OR(A480="",D480="")),"❌ FALTA Nº RECEBIMENTO/ESCOLA",IF(B480="Nº INVÁLIDO","❌ Nº DE RECEBIMENTO INVÁLIDO",IF(E480="CÓDIGO INVÁLIDO","❌ CÓDIGO DE ESCOLA INVÁLIDO",IF(H480&gt;G480,"❌ REJEITADO MAIOR QUE APRESENTADO",IF(AND(A480&lt;&gt;"",SUMIF($A$60:$A$559,A480,$G$60:$G$559)&gt;INDEX($G$7:$G$56,MATCH(A480,$A$7:$A$56,0))+0.01),"❌ DISTRIBUÍDO MAIS QUE O ACEITO NESSE RECEBIMENTO","OK")))))))</f>
        <v/>
      </c>
      <c r="L480" s="389">
        <f>IF(A480="","",ROW()-59)</f>
        <v/>
      </c>
    </row>
    <row r="481" hidden="1" outlineLevel="1" s="163">
      <c r="A481" s="380" t="n"/>
      <c r="B481" s="372">
        <f>IF(A481="","",IFERROR(INDEX($C$7:$C$56,MATCH(A481,$A$7:$A$56,0)),"Nº INVÁLIDO"))</f>
        <v/>
      </c>
      <c r="C481" s="372">
        <f>IF(A481="","",IFERROR(INDEX($D$7:$D$56,MATCH(A481,$A$7:$A$56,0)),"Nº INVÁLIDO"))</f>
        <v/>
      </c>
      <c r="D481" s="380" t="n"/>
      <c r="E481" s="381">
        <f>IF(D481="","",IFERROR(INDEX('Entrada de Dados'!$B$6:$B$196,MATCH(D481,'Entrada de Dados'!$A$6:$A$196,0)),"CÓDIGO INVÁLIDO"))</f>
        <v/>
      </c>
      <c r="F481" s="373" t="n"/>
      <c r="G481" s="375" t="n"/>
      <c r="H481" s="375" t="n"/>
      <c r="I481" s="376">
        <f>IF(G481="",0,MAX(G481-H481,0))</f>
        <v/>
      </c>
      <c r="J481" s="380" t="n"/>
      <c r="K481" s="162">
        <f>IF(AND(A481="",D481="",G481="",H481=""),"",IF(AND(OR(A481&lt;&gt;"",D481&lt;&gt;""),G481=""),"⏳ PENDENTE (falta qtd. apresentada)",IF(AND(G481&lt;&gt;"",OR(A481="",D481="")),"❌ FALTA Nº RECEBIMENTO/ESCOLA",IF(B481="Nº INVÁLIDO","❌ Nº DE RECEBIMENTO INVÁLIDO",IF(E481="CÓDIGO INVÁLIDO","❌ CÓDIGO DE ESCOLA INVÁLIDO",IF(H481&gt;G481,"❌ REJEITADO MAIOR QUE APRESENTADO",IF(AND(A481&lt;&gt;"",SUMIF($A$60:$A$559,A481,$G$60:$G$559)&gt;INDEX($G$7:$G$56,MATCH(A481,$A$7:$A$56,0))+0.01),"❌ DISTRIBUÍDO MAIS QUE O ACEITO NESSE RECEBIMENTO","OK")))))))</f>
        <v/>
      </c>
      <c r="L481" s="389">
        <f>IF(A481="","",ROW()-59)</f>
        <v/>
      </c>
    </row>
    <row r="482" hidden="1" outlineLevel="1" s="163">
      <c r="A482" s="380" t="n"/>
      <c r="B482" s="372">
        <f>IF(A482="","",IFERROR(INDEX($C$7:$C$56,MATCH(A482,$A$7:$A$56,0)),"Nº INVÁLIDO"))</f>
        <v/>
      </c>
      <c r="C482" s="372">
        <f>IF(A482="","",IFERROR(INDEX($D$7:$D$56,MATCH(A482,$A$7:$A$56,0)),"Nº INVÁLIDO"))</f>
        <v/>
      </c>
      <c r="D482" s="380" t="n"/>
      <c r="E482" s="381">
        <f>IF(D482="","",IFERROR(INDEX('Entrada de Dados'!$B$6:$B$196,MATCH(D482,'Entrada de Dados'!$A$6:$A$196,0)),"CÓDIGO INVÁLIDO"))</f>
        <v/>
      </c>
      <c r="F482" s="373" t="n"/>
      <c r="G482" s="375" t="n"/>
      <c r="H482" s="375" t="n"/>
      <c r="I482" s="376">
        <f>IF(G482="",0,MAX(G482-H482,0))</f>
        <v/>
      </c>
      <c r="J482" s="380" t="n"/>
      <c r="K482" s="162">
        <f>IF(AND(A482="",D482="",G482="",H482=""),"",IF(AND(OR(A482&lt;&gt;"",D482&lt;&gt;""),G482=""),"⏳ PENDENTE (falta qtd. apresentada)",IF(AND(G482&lt;&gt;"",OR(A482="",D482="")),"❌ FALTA Nº RECEBIMENTO/ESCOLA",IF(B482="Nº INVÁLIDO","❌ Nº DE RECEBIMENTO INVÁLIDO",IF(E482="CÓDIGO INVÁLIDO","❌ CÓDIGO DE ESCOLA INVÁLIDO",IF(H482&gt;G482,"❌ REJEITADO MAIOR QUE APRESENTADO",IF(AND(A482&lt;&gt;"",SUMIF($A$60:$A$559,A482,$G$60:$G$559)&gt;INDEX($G$7:$G$56,MATCH(A482,$A$7:$A$56,0))+0.01),"❌ DISTRIBUÍDO MAIS QUE O ACEITO NESSE RECEBIMENTO","OK")))))))</f>
        <v/>
      </c>
      <c r="L482" s="389">
        <f>IF(A482="","",ROW()-59)</f>
        <v/>
      </c>
    </row>
    <row r="483" hidden="1" outlineLevel="1" s="163">
      <c r="A483" s="380" t="n"/>
      <c r="B483" s="372">
        <f>IF(A483="","",IFERROR(INDEX($C$7:$C$56,MATCH(A483,$A$7:$A$56,0)),"Nº INVÁLIDO"))</f>
        <v/>
      </c>
      <c r="C483" s="372">
        <f>IF(A483="","",IFERROR(INDEX($D$7:$D$56,MATCH(A483,$A$7:$A$56,0)),"Nº INVÁLIDO"))</f>
        <v/>
      </c>
      <c r="D483" s="380" t="n"/>
      <c r="E483" s="381">
        <f>IF(D483="","",IFERROR(INDEX('Entrada de Dados'!$B$6:$B$196,MATCH(D483,'Entrada de Dados'!$A$6:$A$196,0)),"CÓDIGO INVÁLIDO"))</f>
        <v/>
      </c>
      <c r="F483" s="373" t="n"/>
      <c r="G483" s="375" t="n"/>
      <c r="H483" s="375" t="n"/>
      <c r="I483" s="376">
        <f>IF(G483="",0,MAX(G483-H483,0))</f>
        <v/>
      </c>
      <c r="J483" s="380" t="n"/>
      <c r="K483" s="162">
        <f>IF(AND(A483="",D483="",G483="",H483=""),"",IF(AND(OR(A483&lt;&gt;"",D483&lt;&gt;""),G483=""),"⏳ PENDENTE (falta qtd. apresentada)",IF(AND(G483&lt;&gt;"",OR(A483="",D483="")),"❌ FALTA Nº RECEBIMENTO/ESCOLA",IF(B483="Nº INVÁLIDO","❌ Nº DE RECEBIMENTO INVÁLIDO",IF(E483="CÓDIGO INVÁLIDO","❌ CÓDIGO DE ESCOLA INVÁLIDO",IF(H483&gt;G483,"❌ REJEITADO MAIOR QUE APRESENTADO",IF(AND(A483&lt;&gt;"",SUMIF($A$60:$A$559,A483,$G$60:$G$559)&gt;INDEX($G$7:$G$56,MATCH(A483,$A$7:$A$56,0))+0.01),"❌ DISTRIBUÍDO MAIS QUE O ACEITO NESSE RECEBIMENTO","OK")))))))</f>
        <v/>
      </c>
      <c r="L483" s="389">
        <f>IF(A483="","",ROW()-59)</f>
        <v/>
      </c>
    </row>
    <row r="484" hidden="1" outlineLevel="1" s="163">
      <c r="A484" s="380" t="n"/>
      <c r="B484" s="372">
        <f>IF(A484="","",IFERROR(INDEX($C$7:$C$56,MATCH(A484,$A$7:$A$56,0)),"Nº INVÁLIDO"))</f>
        <v/>
      </c>
      <c r="C484" s="372">
        <f>IF(A484="","",IFERROR(INDEX($D$7:$D$56,MATCH(A484,$A$7:$A$56,0)),"Nº INVÁLIDO"))</f>
        <v/>
      </c>
      <c r="D484" s="380" t="n"/>
      <c r="E484" s="381">
        <f>IF(D484="","",IFERROR(INDEX('Entrada de Dados'!$B$6:$B$196,MATCH(D484,'Entrada de Dados'!$A$6:$A$196,0)),"CÓDIGO INVÁLIDO"))</f>
        <v/>
      </c>
      <c r="F484" s="373" t="n"/>
      <c r="G484" s="375" t="n"/>
      <c r="H484" s="375" t="n"/>
      <c r="I484" s="376">
        <f>IF(G484="",0,MAX(G484-H484,0))</f>
        <v/>
      </c>
      <c r="J484" s="380" t="n"/>
      <c r="K484" s="162">
        <f>IF(AND(A484="",D484="",G484="",H484=""),"",IF(AND(OR(A484&lt;&gt;"",D484&lt;&gt;""),G484=""),"⏳ PENDENTE (falta qtd. apresentada)",IF(AND(G484&lt;&gt;"",OR(A484="",D484="")),"❌ FALTA Nº RECEBIMENTO/ESCOLA",IF(B484="Nº INVÁLIDO","❌ Nº DE RECEBIMENTO INVÁLIDO",IF(E484="CÓDIGO INVÁLIDO","❌ CÓDIGO DE ESCOLA INVÁLIDO",IF(H484&gt;G484,"❌ REJEITADO MAIOR QUE APRESENTADO",IF(AND(A484&lt;&gt;"",SUMIF($A$60:$A$559,A484,$G$60:$G$559)&gt;INDEX($G$7:$G$56,MATCH(A484,$A$7:$A$56,0))+0.01),"❌ DISTRIBUÍDO MAIS QUE O ACEITO NESSE RECEBIMENTO","OK")))))))</f>
        <v/>
      </c>
      <c r="L484" s="389">
        <f>IF(A484="","",ROW()-59)</f>
        <v/>
      </c>
    </row>
    <row r="485" hidden="1" outlineLevel="1" s="163">
      <c r="A485" s="380" t="n"/>
      <c r="B485" s="372">
        <f>IF(A485="","",IFERROR(INDEX($C$7:$C$56,MATCH(A485,$A$7:$A$56,0)),"Nº INVÁLIDO"))</f>
        <v/>
      </c>
      <c r="C485" s="372">
        <f>IF(A485="","",IFERROR(INDEX($D$7:$D$56,MATCH(A485,$A$7:$A$56,0)),"Nº INVÁLIDO"))</f>
        <v/>
      </c>
      <c r="D485" s="380" t="n"/>
      <c r="E485" s="381">
        <f>IF(D485="","",IFERROR(INDEX('Entrada de Dados'!$B$6:$B$196,MATCH(D485,'Entrada de Dados'!$A$6:$A$196,0)),"CÓDIGO INVÁLIDO"))</f>
        <v/>
      </c>
      <c r="F485" s="373" t="n"/>
      <c r="G485" s="375" t="n"/>
      <c r="H485" s="375" t="n"/>
      <c r="I485" s="376">
        <f>IF(G485="",0,MAX(G485-H485,0))</f>
        <v/>
      </c>
      <c r="J485" s="380" t="n"/>
      <c r="K485" s="162">
        <f>IF(AND(A485="",D485="",G485="",H485=""),"",IF(AND(OR(A485&lt;&gt;"",D485&lt;&gt;""),G485=""),"⏳ PENDENTE (falta qtd. apresentada)",IF(AND(G485&lt;&gt;"",OR(A485="",D485="")),"❌ FALTA Nº RECEBIMENTO/ESCOLA",IF(B485="Nº INVÁLIDO","❌ Nº DE RECEBIMENTO INVÁLIDO",IF(E485="CÓDIGO INVÁLIDO","❌ CÓDIGO DE ESCOLA INVÁLIDO",IF(H485&gt;G485,"❌ REJEITADO MAIOR QUE APRESENTADO",IF(AND(A485&lt;&gt;"",SUMIF($A$60:$A$559,A485,$G$60:$G$559)&gt;INDEX($G$7:$G$56,MATCH(A485,$A$7:$A$56,0))+0.01),"❌ DISTRIBUÍDO MAIS QUE O ACEITO NESSE RECEBIMENTO","OK")))))))</f>
        <v/>
      </c>
      <c r="L485" s="389">
        <f>IF(A485="","",ROW()-59)</f>
        <v/>
      </c>
    </row>
    <row r="486" hidden="1" outlineLevel="1" s="163">
      <c r="A486" s="380" t="n"/>
      <c r="B486" s="372">
        <f>IF(A486="","",IFERROR(INDEX($C$7:$C$56,MATCH(A486,$A$7:$A$56,0)),"Nº INVÁLIDO"))</f>
        <v/>
      </c>
      <c r="C486" s="372">
        <f>IF(A486="","",IFERROR(INDEX($D$7:$D$56,MATCH(A486,$A$7:$A$56,0)),"Nº INVÁLIDO"))</f>
        <v/>
      </c>
      <c r="D486" s="380" t="n"/>
      <c r="E486" s="381">
        <f>IF(D486="","",IFERROR(INDEX('Entrada de Dados'!$B$6:$B$196,MATCH(D486,'Entrada de Dados'!$A$6:$A$196,0)),"CÓDIGO INVÁLIDO"))</f>
        <v/>
      </c>
      <c r="F486" s="373" t="n"/>
      <c r="G486" s="375" t="n"/>
      <c r="H486" s="375" t="n"/>
      <c r="I486" s="376">
        <f>IF(G486="",0,MAX(G486-H486,0))</f>
        <v/>
      </c>
      <c r="J486" s="380" t="n"/>
      <c r="K486" s="162">
        <f>IF(AND(A486="",D486="",G486="",H486=""),"",IF(AND(OR(A486&lt;&gt;"",D486&lt;&gt;""),G486=""),"⏳ PENDENTE (falta qtd. apresentada)",IF(AND(G486&lt;&gt;"",OR(A486="",D486="")),"❌ FALTA Nº RECEBIMENTO/ESCOLA",IF(B486="Nº INVÁLIDO","❌ Nº DE RECEBIMENTO INVÁLIDO",IF(E486="CÓDIGO INVÁLIDO","❌ CÓDIGO DE ESCOLA INVÁLIDO",IF(H486&gt;G486,"❌ REJEITADO MAIOR QUE APRESENTADO",IF(AND(A486&lt;&gt;"",SUMIF($A$60:$A$559,A486,$G$60:$G$559)&gt;INDEX($G$7:$G$56,MATCH(A486,$A$7:$A$56,0))+0.01),"❌ DISTRIBUÍDO MAIS QUE O ACEITO NESSE RECEBIMENTO","OK")))))))</f>
        <v/>
      </c>
      <c r="L486" s="389">
        <f>IF(A486="","",ROW()-59)</f>
        <v/>
      </c>
    </row>
    <row r="487" hidden="1" outlineLevel="1" s="163">
      <c r="A487" s="380" t="n"/>
      <c r="B487" s="372">
        <f>IF(A487="","",IFERROR(INDEX($C$7:$C$56,MATCH(A487,$A$7:$A$56,0)),"Nº INVÁLIDO"))</f>
        <v/>
      </c>
      <c r="C487" s="372">
        <f>IF(A487="","",IFERROR(INDEX($D$7:$D$56,MATCH(A487,$A$7:$A$56,0)),"Nº INVÁLIDO"))</f>
        <v/>
      </c>
      <c r="D487" s="380" t="n"/>
      <c r="E487" s="381">
        <f>IF(D487="","",IFERROR(INDEX('Entrada de Dados'!$B$6:$B$196,MATCH(D487,'Entrada de Dados'!$A$6:$A$196,0)),"CÓDIGO INVÁLIDO"))</f>
        <v/>
      </c>
      <c r="F487" s="373" t="n"/>
      <c r="G487" s="375" t="n"/>
      <c r="H487" s="375" t="n"/>
      <c r="I487" s="376">
        <f>IF(G487="",0,MAX(G487-H487,0))</f>
        <v/>
      </c>
      <c r="J487" s="380" t="n"/>
      <c r="K487" s="162">
        <f>IF(AND(A487="",D487="",G487="",H487=""),"",IF(AND(OR(A487&lt;&gt;"",D487&lt;&gt;""),G487=""),"⏳ PENDENTE (falta qtd. apresentada)",IF(AND(G487&lt;&gt;"",OR(A487="",D487="")),"❌ FALTA Nº RECEBIMENTO/ESCOLA",IF(B487="Nº INVÁLIDO","❌ Nº DE RECEBIMENTO INVÁLIDO",IF(E487="CÓDIGO INVÁLIDO","❌ CÓDIGO DE ESCOLA INVÁLIDO",IF(H487&gt;G487,"❌ REJEITADO MAIOR QUE APRESENTADO",IF(AND(A487&lt;&gt;"",SUMIF($A$60:$A$559,A487,$G$60:$G$559)&gt;INDEX($G$7:$G$56,MATCH(A487,$A$7:$A$56,0))+0.01),"❌ DISTRIBUÍDO MAIS QUE O ACEITO NESSE RECEBIMENTO","OK")))))))</f>
        <v/>
      </c>
      <c r="L487" s="389">
        <f>IF(A487="","",ROW()-59)</f>
        <v/>
      </c>
    </row>
    <row r="488" hidden="1" outlineLevel="1" s="163">
      <c r="A488" s="380" t="n"/>
      <c r="B488" s="372">
        <f>IF(A488="","",IFERROR(INDEX($C$7:$C$56,MATCH(A488,$A$7:$A$56,0)),"Nº INVÁLIDO"))</f>
        <v/>
      </c>
      <c r="C488" s="372">
        <f>IF(A488="","",IFERROR(INDEX($D$7:$D$56,MATCH(A488,$A$7:$A$56,0)),"Nº INVÁLIDO"))</f>
        <v/>
      </c>
      <c r="D488" s="380" t="n"/>
      <c r="E488" s="381">
        <f>IF(D488="","",IFERROR(INDEX('Entrada de Dados'!$B$6:$B$196,MATCH(D488,'Entrada de Dados'!$A$6:$A$196,0)),"CÓDIGO INVÁLIDO"))</f>
        <v/>
      </c>
      <c r="F488" s="373" t="n"/>
      <c r="G488" s="375" t="n"/>
      <c r="H488" s="375" t="n"/>
      <c r="I488" s="376">
        <f>IF(G488="",0,MAX(G488-H488,0))</f>
        <v/>
      </c>
      <c r="J488" s="380" t="n"/>
      <c r="K488" s="162">
        <f>IF(AND(A488="",D488="",G488="",H488=""),"",IF(AND(OR(A488&lt;&gt;"",D488&lt;&gt;""),G488=""),"⏳ PENDENTE (falta qtd. apresentada)",IF(AND(G488&lt;&gt;"",OR(A488="",D488="")),"❌ FALTA Nº RECEBIMENTO/ESCOLA",IF(B488="Nº INVÁLIDO","❌ Nº DE RECEBIMENTO INVÁLIDO",IF(E488="CÓDIGO INVÁLIDO","❌ CÓDIGO DE ESCOLA INVÁLIDO",IF(H488&gt;G488,"❌ REJEITADO MAIOR QUE APRESENTADO",IF(AND(A488&lt;&gt;"",SUMIF($A$60:$A$559,A488,$G$60:$G$559)&gt;INDEX($G$7:$G$56,MATCH(A488,$A$7:$A$56,0))+0.01),"❌ DISTRIBUÍDO MAIS QUE O ACEITO NESSE RECEBIMENTO","OK")))))))</f>
        <v/>
      </c>
      <c r="L488" s="389">
        <f>IF(A488="","",ROW()-59)</f>
        <v/>
      </c>
    </row>
    <row r="489" hidden="1" outlineLevel="1" s="163">
      <c r="A489" s="380" t="n"/>
      <c r="B489" s="372">
        <f>IF(A489="","",IFERROR(INDEX($C$7:$C$56,MATCH(A489,$A$7:$A$56,0)),"Nº INVÁLIDO"))</f>
        <v/>
      </c>
      <c r="C489" s="372">
        <f>IF(A489="","",IFERROR(INDEX($D$7:$D$56,MATCH(A489,$A$7:$A$56,0)),"Nº INVÁLIDO"))</f>
        <v/>
      </c>
      <c r="D489" s="380" t="n"/>
      <c r="E489" s="381">
        <f>IF(D489="","",IFERROR(INDEX('Entrada de Dados'!$B$6:$B$196,MATCH(D489,'Entrada de Dados'!$A$6:$A$196,0)),"CÓDIGO INVÁLIDO"))</f>
        <v/>
      </c>
      <c r="F489" s="373" t="n"/>
      <c r="G489" s="375" t="n"/>
      <c r="H489" s="375" t="n"/>
      <c r="I489" s="376">
        <f>IF(G489="",0,MAX(G489-H489,0))</f>
        <v/>
      </c>
      <c r="J489" s="380" t="n"/>
      <c r="K489" s="162">
        <f>IF(AND(A489="",D489="",G489="",H489=""),"",IF(AND(OR(A489&lt;&gt;"",D489&lt;&gt;""),G489=""),"⏳ PENDENTE (falta qtd. apresentada)",IF(AND(G489&lt;&gt;"",OR(A489="",D489="")),"❌ FALTA Nº RECEBIMENTO/ESCOLA",IF(B489="Nº INVÁLIDO","❌ Nº DE RECEBIMENTO INVÁLIDO",IF(E489="CÓDIGO INVÁLIDO","❌ CÓDIGO DE ESCOLA INVÁLIDO",IF(H489&gt;G489,"❌ REJEITADO MAIOR QUE APRESENTADO",IF(AND(A489&lt;&gt;"",SUMIF($A$60:$A$559,A489,$G$60:$G$559)&gt;INDEX($G$7:$G$56,MATCH(A489,$A$7:$A$56,0))+0.01),"❌ DISTRIBUÍDO MAIS QUE O ACEITO NESSE RECEBIMENTO","OK")))))))</f>
        <v/>
      </c>
      <c r="L489" s="389">
        <f>IF(A489="","",ROW()-59)</f>
        <v/>
      </c>
    </row>
    <row r="490" hidden="1" outlineLevel="1" s="163">
      <c r="A490" s="380" t="n"/>
      <c r="B490" s="372">
        <f>IF(A490="","",IFERROR(INDEX($C$7:$C$56,MATCH(A490,$A$7:$A$56,0)),"Nº INVÁLIDO"))</f>
        <v/>
      </c>
      <c r="C490" s="372">
        <f>IF(A490="","",IFERROR(INDEX($D$7:$D$56,MATCH(A490,$A$7:$A$56,0)),"Nº INVÁLIDO"))</f>
        <v/>
      </c>
      <c r="D490" s="380" t="n"/>
      <c r="E490" s="381">
        <f>IF(D490="","",IFERROR(INDEX('Entrada de Dados'!$B$6:$B$196,MATCH(D490,'Entrada de Dados'!$A$6:$A$196,0)),"CÓDIGO INVÁLIDO"))</f>
        <v/>
      </c>
      <c r="F490" s="373" t="n"/>
      <c r="G490" s="375" t="n"/>
      <c r="H490" s="375" t="n"/>
      <c r="I490" s="376">
        <f>IF(G490="",0,MAX(G490-H490,0))</f>
        <v/>
      </c>
      <c r="J490" s="380" t="n"/>
      <c r="K490" s="162">
        <f>IF(AND(A490="",D490="",G490="",H490=""),"",IF(AND(OR(A490&lt;&gt;"",D490&lt;&gt;""),G490=""),"⏳ PENDENTE (falta qtd. apresentada)",IF(AND(G490&lt;&gt;"",OR(A490="",D490="")),"❌ FALTA Nº RECEBIMENTO/ESCOLA",IF(B490="Nº INVÁLIDO","❌ Nº DE RECEBIMENTO INVÁLIDO",IF(E490="CÓDIGO INVÁLIDO","❌ CÓDIGO DE ESCOLA INVÁLIDO",IF(H490&gt;G490,"❌ REJEITADO MAIOR QUE APRESENTADO",IF(AND(A490&lt;&gt;"",SUMIF($A$60:$A$559,A490,$G$60:$G$559)&gt;INDEX($G$7:$G$56,MATCH(A490,$A$7:$A$56,0))+0.01),"❌ DISTRIBUÍDO MAIS QUE O ACEITO NESSE RECEBIMENTO","OK")))))))</f>
        <v/>
      </c>
      <c r="L490" s="389">
        <f>IF(A490="","",ROW()-59)</f>
        <v/>
      </c>
    </row>
    <row r="491" hidden="1" outlineLevel="1" s="163">
      <c r="A491" s="380" t="n"/>
      <c r="B491" s="372">
        <f>IF(A491="","",IFERROR(INDEX($C$7:$C$56,MATCH(A491,$A$7:$A$56,0)),"Nº INVÁLIDO"))</f>
        <v/>
      </c>
      <c r="C491" s="372">
        <f>IF(A491="","",IFERROR(INDEX($D$7:$D$56,MATCH(A491,$A$7:$A$56,0)),"Nº INVÁLIDO"))</f>
        <v/>
      </c>
      <c r="D491" s="380" t="n"/>
      <c r="E491" s="381">
        <f>IF(D491="","",IFERROR(INDEX('Entrada de Dados'!$B$6:$B$196,MATCH(D491,'Entrada de Dados'!$A$6:$A$196,0)),"CÓDIGO INVÁLIDO"))</f>
        <v/>
      </c>
      <c r="F491" s="373" t="n"/>
      <c r="G491" s="375" t="n"/>
      <c r="H491" s="375" t="n"/>
      <c r="I491" s="376">
        <f>IF(G491="",0,MAX(G491-H491,0))</f>
        <v/>
      </c>
      <c r="J491" s="380" t="n"/>
      <c r="K491" s="162">
        <f>IF(AND(A491="",D491="",G491="",H491=""),"",IF(AND(OR(A491&lt;&gt;"",D491&lt;&gt;""),G491=""),"⏳ PENDENTE (falta qtd. apresentada)",IF(AND(G491&lt;&gt;"",OR(A491="",D491="")),"❌ FALTA Nº RECEBIMENTO/ESCOLA",IF(B491="Nº INVÁLIDO","❌ Nº DE RECEBIMENTO INVÁLIDO",IF(E491="CÓDIGO INVÁLIDO","❌ CÓDIGO DE ESCOLA INVÁLIDO",IF(H491&gt;G491,"❌ REJEITADO MAIOR QUE APRESENTADO",IF(AND(A491&lt;&gt;"",SUMIF($A$60:$A$559,A491,$G$60:$G$559)&gt;INDEX($G$7:$G$56,MATCH(A491,$A$7:$A$56,0))+0.01),"❌ DISTRIBUÍDO MAIS QUE O ACEITO NESSE RECEBIMENTO","OK")))))))</f>
        <v/>
      </c>
      <c r="L491" s="389">
        <f>IF(A491="","",ROW()-59)</f>
        <v/>
      </c>
    </row>
    <row r="492" hidden="1" outlineLevel="1" s="163">
      <c r="A492" s="380" t="n"/>
      <c r="B492" s="372">
        <f>IF(A492="","",IFERROR(INDEX($C$7:$C$56,MATCH(A492,$A$7:$A$56,0)),"Nº INVÁLIDO"))</f>
        <v/>
      </c>
      <c r="C492" s="372">
        <f>IF(A492="","",IFERROR(INDEX($D$7:$D$56,MATCH(A492,$A$7:$A$56,0)),"Nº INVÁLIDO"))</f>
        <v/>
      </c>
      <c r="D492" s="380" t="n"/>
      <c r="E492" s="381">
        <f>IF(D492="","",IFERROR(INDEX('Entrada de Dados'!$B$6:$B$196,MATCH(D492,'Entrada de Dados'!$A$6:$A$196,0)),"CÓDIGO INVÁLIDO"))</f>
        <v/>
      </c>
      <c r="F492" s="373" t="n"/>
      <c r="G492" s="375" t="n"/>
      <c r="H492" s="375" t="n"/>
      <c r="I492" s="376">
        <f>IF(G492="",0,MAX(G492-H492,0))</f>
        <v/>
      </c>
      <c r="J492" s="380" t="n"/>
      <c r="K492" s="162">
        <f>IF(AND(A492="",D492="",G492="",H492=""),"",IF(AND(OR(A492&lt;&gt;"",D492&lt;&gt;""),G492=""),"⏳ PENDENTE (falta qtd. apresentada)",IF(AND(G492&lt;&gt;"",OR(A492="",D492="")),"❌ FALTA Nº RECEBIMENTO/ESCOLA",IF(B492="Nº INVÁLIDO","❌ Nº DE RECEBIMENTO INVÁLIDO",IF(E492="CÓDIGO INVÁLIDO","❌ CÓDIGO DE ESCOLA INVÁLIDO",IF(H492&gt;G492,"❌ REJEITADO MAIOR QUE APRESENTADO",IF(AND(A492&lt;&gt;"",SUMIF($A$60:$A$559,A492,$G$60:$G$559)&gt;INDEX($G$7:$G$56,MATCH(A492,$A$7:$A$56,0))+0.01),"❌ DISTRIBUÍDO MAIS QUE O ACEITO NESSE RECEBIMENTO","OK")))))))</f>
        <v/>
      </c>
      <c r="L492" s="389">
        <f>IF(A492="","",ROW()-59)</f>
        <v/>
      </c>
    </row>
    <row r="493" hidden="1" outlineLevel="1" s="163">
      <c r="A493" s="380" t="n"/>
      <c r="B493" s="372">
        <f>IF(A493="","",IFERROR(INDEX($C$7:$C$56,MATCH(A493,$A$7:$A$56,0)),"Nº INVÁLIDO"))</f>
        <v/>
      </c>
      <c r="C493" s="372">
        <f>IF(A493="","",IFERROR(INDEX($D$7:$D$56,MATCH(A493,$A$7:$A$56,0)),"Nº INVÁLIDO"))</f>
        <v/>
      </c>
      <c r="D493" s="380" t="n"/>
      <c r="E493" s="381">
        <f>IF(D493="","",IFERROR(INDEX('Entrada de Dados'!$B$6:$B$196,MATCH(D493,'Entrada de Dados'!$A$6:$A$196,0)),"CÓDIGO INVÁLIDO"))</f>
        <v/>
      </c>
      <c r="F493" s="373" t="n"/>
      <c r="G493" s="375" t="n"/>
      <c r="H493" s="375" t="n"/>
      <c r="I493" s="376">
        <f>IF(G493="",0,MAX(G493-H493,0))</f>
        <v/>
      </c>
      <c r="J493" s="380" t="n"/>
      <c r="K493" s="162">
        <f>IF(AND(A493="",D493="",G493="",H493=""),"",IF(AND(OR(A493&lt;&gt;"",D493&lt;&gt;""),G493=""),"⏳ PENDENTE (falta qtd. apresentada)",IF(AND(G493&lt;&gt;"",OR(A493="",D493="")),"❌ FALTA Nº RECEBIMENTO/ESCOLA",IF(B493="Nº INVÁLIDO","❌ Nº DE RECEBIMENTO INVÁLIDO",IF(E493="CÓDIGO INVÁLIDO","❌ CÓDIGO DE ESCOLA INVÁLIDO",IF(H493&gt;G493,"❌ REJEITADO MAIOR QUE APRESENTADO",IF(AND(A493&lt;&gt;"",SUMIF($A$60:$A$559,A493,$G$60:$G$559)&gt;INDEX($G$7:$G$56,MATCH(A493,$A$7:$A$56,0))+0.01),"❌ DISTRIBUÍDO MAIS QUE O ACEITO NESSE RECEBIMENTO","OK")))))))</f>
        <v/>
      </c>
      <c r="L493" s="389">
        <f>IF(A493="","",ROW()-59)</f>
        <v/>
      </c>
    </row>
    <row r="494" hidden="1" outlineLevel="1" s="163">
      <c r="A494" s="380" t="n"/>
      <c r="B494" s="372">
        <f>IF(A494="","",IFERROR(INDEX($C$7:$C$56,MATCH(A494,$A$7:$A$56,0)),"Nº INVÁLIDO"))</f>
        <v/>
      </c>
      <c r="C494" s="372">
        <f>IF(A494="","",IFERROR(INDEX($D$7:$D$56,MATCH(A494,$A$7:$A$56,0)),"Nº INVÁLIDO"))</f>
        <v/>
      </c>
      <c r="D494" s="380" t="n"/>
      <c r="E494" s="381">
        <f>IF(D494="","",IFERROR(INDEX('Entrada de Dados'!$B$6:$B$196,MATCH(D494,'Entrada de Dados'!$A$6:$A$196,0)),"CÓDIGO INVÁLIDO"))</f>
        <v/>
      </c>
      <c r="F494" s="373" t="n"/>
      <c r="G494" s="375" t="n"/>
      <c r="H494" s="375" t="n"/>
      <c r="I494" s="376">
        <f>IF(G494="",0,MAX(G494-H494,0))</f>
        <v/>
      </c>
      <c r="J494" s="380" t="n"/>
      <c r="K494" s="162">
        <f>IF(AND(A494="",D494="",G494="",H494=""),"",IF(AND(OR(A494&lt;&gt;"",D494&lt;&gt;""),G494=""),"⏳ PENDENTE (falta qtd. apresentada)",IF(AND(G494&lt;&gt;"",OR(A494="",D494="")),"❌ FALTA Nº RECEBIMENTO/ESCOLA",IF(B494="Nº INVÁLIDO","❌ Nº DE RECEBIMENTO INVÁLIDO",IF(E494="CÓDIGO INVÁLIDO","❌ CÓDIGO DE ESCOLA INVÁLIDO",IF(H494&gt;G494,"❌ REJEITADO MAIOR QUE APRESENTADO",IF(AND(A494&lt;&gt;"",SUMIF($A$60:$A$559,A494,$G$60:$G$559)&gt;INDEX($G$7:$G$56,MATCH(A494,$A$7:$A$56,0))+0.01),"❌ DISTRIBUÍDO MAIS QUE O ACEITO NESSE RECEBIMENTO","OK")))))))</f>
        <v/>
      </c>
      <c r="L494" s="389">
        <f>IF(A494="","",ROW()-59)</f>
        <v/>
      </c>
    </row>
    <row r="495" hidden="1" outlineLevel="1" s="163">
      <c r="A495" s="380" t="n"/>
      <c r="B495" s="372">
        <f>IF(A495="","",IFERROR(INDEX($C$7:$C$56,MATCH(A495,$A$7:$A$56,0)),"Nº INVÁLIDO"))</f>
        <v/>
      </c>
      <c r="C495" s="372">
        <f>IF(A495="","",IFERROR(INDEX($D$7:$D$56,MATCH(A495,$A$7:$A$56,0)),"Nº INVÁLIDO"))</f>
        <v/>
      </c>
      <c r="D495" s="380" t="n"/>
      <c r="E495" s="381">
        <f>IF(D495="","",IFERROR(INDEX('Entrada de Dados'!$B$6:$B$196,MATCH(D495,'Entrada de Dados'!$A$6:$A$196,0)),"CÓDIGO INVÁLIDO"))</f>
        <v/>
      </c>
      <c r="F495" s="373" t="n"/>
      <c r="G495" s="375" t="n"/>
      <c r="H495" s="375" t="n"/>
      <c r="I495" s="376">
        <f>IF(G495="",0,MAX(G495-H495,0))</f>
        <v/>
      </c>
      <c r="J495" s="380" t="n"/>
      <c r="K495" s="162">
        <f>IF(AND(A495="",D495="",G495="",H495=""),"",IF(AND(OR(A495&lt;&gt;"",D495&lt;&gt;""),G495=""),"⏳ PENDENTE (falta qtd. apresentada)",IF(AND(G495&lt;&gt;"",OR(A495="",D495="")),"❌ FALTA Nº RECEBIMENTO/ESCOLA",IF(B495="Nº INVÁLIDO","❌ Nº DE RECEBIMENTO INVÁLIDO",IF(E495="CÓDIGO INVÁLIDO","❌ CÓDIGO DE ESCOLA INVÁLIDO",IF(H495&gt;G495,"❌ REJEITADO MAIOR QUE APRESENTADO",IF(AND(A495&lt;&gt;"",SUMIF($A$60:$A$559,A495,$G$60:$G$559)&gt;INDEX($G$7:$G$56,MATCH(A495,$A$7:$A$56,0))+0.01),"❌ DISTRIBUÍDO MAIS QUE O ACEITO NESSE RECEBIMENTO","OK")))))))</f>
        <v/>
      </c>
      <c r="L495" s="389">
        <f>IF(A495="","",ROW()-59)</f>
        <v/>
      </c>
    </row>
    <row r="496" hidden="1" outlineLevel="1" s="163">
      <c r="A496" s="380" t="n"/>
      <c r="B496" s="372">
        <f>IF(A496="","",IFERROR(INDEX($C$7:$C$56,MATCH(A496,$A$7:$A$56,0)),"Nº INVÁLIDO"))</f>
        <v/>
      </c>
      <c r="C496" s="372">
        <f>IF(A496="","",IFERROR(INDEX($D$7:$D$56,MATCH(A496,$A$7:$A$56,0)),"Nº INVÁLIDO"))</f>
        <v/>
      </c>
      <c r="D496" s="380" t="n"/>
      <c r="E496" s="381">
        <f>IF(D496="","",IFERROR(INDEX('Entrada de Dados'!$B$6:$B$196,MATCH(D496,'Entrada de Dados'!$A$6:$A$196,0)),"CÓDIGO INVÁLIDO"))</f>
        <v/>
      </c>
      <c r="F496" s="373" t="n"/>
      <c r="G496" s="375" t="n"/>
      <c r="H496" s="375" t="n"/>
      <c r="I496" s="376">
        <f>IF(G496="",0,MAX(G496-H496,0))</f>
        <v/>
      </c>
      <c r="J496" s="380" t="n"/>
      <c r="K496" s="162">
        <f>IF(AND(A496="",D496="",G496="",H496=""),"",IF(AND(OR(A496&lt;&gt;"",D496&lt;&gt;""),G496=""),"⏳ PENDENTE (falta qtd. apresentada)",IF(AND(G496&lt;&gt;"",OR(A496="",D496="")),"❌ FALTA Nº RECEBIMENTO/ESCOLA",IF(B496="Nº INVÁLIDO","❌ Nº DE RECEBIMENTO INVÁLIDO",IF(E496="CÓDIGO INVÁLIDO","❌ CÓDIGO DE ESCOLA INVÁLIDO",IF(H496&gt;G496,"❌ REJEITADO MAIOR QUE APRESENTADO",IF(AND(A496&lt;&gt;"",SUMIF($A$60:$A$559,A496,$G$60:$G$559)&gt;INDEX($G$7:$G$56,MATCH(A496,$A$7:$A$56,0))+0.01),"❌ DISTRIBUÍDO MAIS QUE O ACEITO NESSE RECEBIMENTO","OK")))))))</f>
        <v/>
      </c>
      <c r="L496" s="389">
        <f>IF(A496="","",ROW()-59)</f>
        <v/>
      </c>
    </row>
    <row r="497" hidden="1" outlineLevel="1" s="163">
      <c r="A497" s="380" t="n"/>
      <c r="B497" s="372">
        <f>IF(A497="","",IFERROR(INDEX($C$7:$C$56,MATCH(A497,$A$7:$A$56,0)),"Nº INVÁLIDO"))</f>
        <v/>
      </c>
      <c r="C497" s="372">
        <f>IF(A497="","",IFERROR(INDEX($D$7:$D$56,MATCH(A497,$A$7:$A$56,0)),"Nº INVÁLIDO"))</f>
        <v/>
      </c>
      <c r="D497" s="380" t="n"/>
      <c r="E497" s="381">
        <f>IF(D497="","",IFERROR(INDEX('Entrada de Dados'!$B$6:$B$196,MATCH(D497,'Entrada de Dados'!$A$6:$A$196,0)),"CÓDIGO INVÁLIDO"))</f>
        <v/>
      </c>
      <c r="F497" s="373" t="n"/>
      <c r="G497" s="375" t="n"/>
      <c r="H497" s="375" t="n"/>
      <c r="I497" s="376">
        <f>IF(G497="",0,MAX(G497-H497,0))</f>
        <v/>
      </c>
      <c r="J497" s="380" t="n"/>
      <c r="K497" s="162">
        <f>IF(AND(A497="",D497="",G497="",H497=""),"",IF(AND(OR(A497&lt;&gt;"",D497&lt;&gt;""),G497=""),"⏳ PENDENTE (falta qtd. apresentada)",IF(AND(G497&lt;&gt;"",OR(A497="",D497="")),"❌ FALTA Nº RECEBIMENTO/ESCOLA",IF(B497="Nº INVÁLIDO","❌ Nº DE RECEBIMENTO INVÁLIDO",IF(E497="CÓDIGO INVÁLIDO","❌ CÓDIGO DE ESCOLA INVÁLIDO",IF(H497&gt;G497,"❌ REJEITADO MAIOR QUE APRESENTADO",IF(AND(A497&lt;&gt;"",SUMIF($A$60:$A$559,A497,$G$60:$G$559)&gt;INDEX($G$7:$G$56,MATCH(A497,$A$7:$A$56,0))+0.01),"❌ DISTRIBUÍDO MAIS QUE O ACEITO NESSE RECEBIMENTO","OK")))))))</f>
        <v/>
      </c>
      <c r="L497" s="389">
        <f>IF(A497="","",ROW()-59)</f>
        <v/>
      </c>
    </row>
    <row r="498" hidden="1" outlineLevel="1" s="163">
      <c r="A498" s="380" t="n"/>
      <c r="B498" s="372">
        <f>IF(A498="","",IFERROR(INDEX($C$7:$C$56,MATCH(A498,$A$7:$A$56,0)),"Nº INVÁLIDO"))</f>
        <v/>
      </c>
      <c r="C498" s="372">
        <f>IF(A498="","",IFERROR(INDEX($D$7:$D$56,MATCH(A498,$A$7:$A$56,0)),"Nº INVÁLIDO"))</f>
        <v/>
      </c>
      <c r="D498" s="380" t="n"/>
      <c r="E498" s="381">
        <f>IF(D498="","",IFERROR(INDEX('Entrada de Dados'!$B$6:$B$196,MATCH(D498,'Entrada de Dados'!$A$6:$A$196,0)),"CÓDIGO INVÁLIDO"))</f>
        <v/>
      </c>
      <c r="F498" s="373" t="n"/>
      <c r="G498" s="375" t="n"/>
      <c r="H498" s="375" t="n"/>
      <c r="I498" s="376">
        <f>IF(G498="",0,MAX(G498-H498,0))</f>
        <v/>
      </c>
      <c r="J498" s="380" t="n"/>
      <c r="K498" s="162">
        <f>IF(AND(A498="",D498="",G498="",H498=""),"",IF(AND(OR(A498&lt;&gt;"",D498&lt;&gt;""),G498=""),"⏳ PENDENTE (falta qtd. apresentada)",IF(AND(G498&lt;&gt;"",OR(A498="",D498="")),"❌ FALTA Nº RECEBIMENTO/ESCOLA",IF(B498="Nº INVÁLIDO","❌ Nº DE RECEBIMENTO INVÁLIDO",IF(E498="CÓDIGO INVÁLIDO","❌ CÓDIGO DE ESCOLA INVÁLIDO",IF(H498&gt;G498,"❌ REJEITADO MAIOR QUE APRESENTADO",IF(AND(A498&lt;&gt;"",SUMIF($A$60:$A$559,A498,$G$60:$G$559)&gt;INDEX($G$7:$G$56,MATCH(A498,$A$7:$A$56,0))+0.01),"❌ DISTRIBUÍDO MAIS QUE O ACEITO NESSE RECEBIMENTO","OK")))))))</f>
        <v/>
      </c>
      <c r="L498" s="389">
        <f>IF(A498="","",ROW()-59)</f>
        <v/>
      </c>
    </row>
    <row r="499" hidden="1" outlineLevel="1" s="163">
      <c r="A499" s="380" t="n"/>
      <c r="B499" s="372">
        <f>IF(A499="","",IFERROR(INDEX($C$7:$C$56,MATCH(A499,$A$7:$A$56,0)),"Nº INVÁLIDO"))</f>
        <v/>
      </c>
      <c r="C499" s="372">
        <f>IF(A499="","",IFERROR(INDEX($D$7:$D$56,MATCH(A499,$A$7:$A$56,0)),"Nº INVÁLIDO"))</f>
        <v/>
      </c>
      <c r="D499" s="380" t="n"/>
      <c r="E499" s="381">
        <f>IF(D499="","",IFERROR(INDEX('Entrada de Dados'!$B$6:$B$196,MATCH(D499,'Entrada de Dados'!$A$6:$A$196,0)),"CÓDIGO INVÁLIDO"))</f>
        <v/>
      </c>
      <c r="F499" s="373" t="n"/>
      <c r="G499" s="375" t="n"/>
      <c r="H499" s="375" t="n"/>
      <c r="I499" s="376">
        <f>IF(G499="",0,MAX(G499-H499,0))</f>
        <v/>
      </c>
      <c r="J499" s="380" t="n"/>
      <c r="K499" s="162">
        <f>IF(AND(A499="",D499="",G499="",H499=""),"",IF(AND(OR(A499&lt;&gt;"",D499&lt;&gt;""),G499=""),"⏳ PENDENTE (falta qtd. apresentada)",IF(AND(G499&lt;&gt;"",OR(A499="",D499="")),"❌ FALTA Nº RECEBIMENTO/ESCOLA",IF(B499="Nº INVÁLIDO","❌ Nº DE RECEBIMENTO INVÁLIDO",IF(E499="CÓDIGO INVÁLIDO","❌ CÓDIGO DE ESCOLA INVÁLIDO",IF(H499&gt;G499,"❌ REJEITADO MAIOR QUE APRESENTADO",IF(AND(A499&lt;&gt;"",SUMIF($A$60:$A$559,A499,$G$60:$G$559)&gt;INDEX($G$7:$G$56,MATCH(A499,$A$7:$A$56,0))+0.01),"❌ DISTRIBUÍDO MAIS QUE O ACEITO NESSE RECEBIMENTO","OK")))))))</f>
        <v/>
      </c>
      <c r="L499" s="389">
        <f>IF(A499="","",ROW()-59)</f>
        <v/>
      </c>
    </row>
    <row r="500" hidden="1" outlineLevel="1" s="163">
      <c r="A500" s="380" t="n"/>
      <c r="B500" s="372">
        <f>IF(A500="","",IFERROR(INDEX($C$7:$C$56,MATCH(A500,$A$7:$A$56,0)),"Nº INVÁLIDO"))</f>
        <v/>
      </c>
      <c r="C500" s="372">
        <f>IF(A500="","",IFERROR(INDEX($D$7:$D$56,MATCH(A500,$A$7:$A$56,0)),"Nº INVÁLIDO"))</f>
        <v/>
      </c>
      <c r="D500" s="380" t="n"/>
      <c r="E500" s="381">
        <f>IF(D500="","",IFERROR(INDEX('Entrada de Dados'!$B$6:$B$196,MATCH(D500,'Entrada de Dados'!$A$6:$A$196,0)),"CÓDIGO INVÁLIDO"))</f>
        <v/>
      </c>
      <c r="F500" s="373" t="n"/>
      <c r="G500" s="375" t="n"/>
      <c r="H500" s="375" t="n"/>
      <c r="I500" s="376">
        <f>IF(G500="",0,MAX(G500-H500,0))</f>
        <v/>
      </c>
      <c r="J500" s="380" t="n"/>
      <c r="K500" s="162">
        <f>IF(AND(A500="",D500="",G500="",H500=""),"",IF(AND(OR(A500&lt;&gt;"",D500&lt;&gt;""),G500=""),"⏳ PENDENTE (falta qtd. apresentada)",IF(AND(G500&lt;&gt;"",OR(A500="",D500="")),"❌ FALTA Nº RECEBIMENTO/ESCOLA",IF(B500="Nº INVÁLIDO","❌ Nº DE RECEBIMENTO INVÁLIDO",IF(E500="CÓDIGO INVÁLIDO","❌ CÓDIGO DE ESCOLA INVÁLIDO",IF(H500&gt;G500,"❌ REJEITADO MAIOR QUE APRESENTADO",IF(AND(A500&lt;&gt;"",SUMIF($A$60:$A$559,A500,$G$60:$G$559)&gt;INDEX($G$7:$G$56,MATCH(A500,$A$7:$A$56,0))+0.01),"❌ DISTRIBUÍDO MAIS QUE O ACEITO NESSE RECEBIMENTO","OK")))))))</f>
        <v/>
      </c>
      <c r="L500" s="389">
        <f>IF(A500="","",ROW()-59)</f>
        <v/>
      </c>
    </row>
    <row r="501" hidden="1" outlineLevel="1" s="163">
      <c r="A501" s="380" t="n"/>
      <c r="B501" s="372">
        <f>IF(A501="","",IFERROR(INDEX($C$7:$C$56,MATCH(A501,$A$7:$A$56,0)),"Nº INVÁLIDO"))</f>
        <v/>
      </c>
      <c r="C501" s="372">
        <f>IF(A501="","",IFERROR(INDEX($D$7:$D$56,MATCH(A501,$A$7:$A$56,0)),"Nº INVÁLIDO"))</f>
        <v/>
      </c>
      <c r="D501" s="380" t="n"/>
      <c r="E501" s="381">
        <f>IF(D501="","",IFERROR(INDEX('Entrada de Dados'!$B$6:$B$196,MATCH(D501,'Entrada de Dados'!$A$6:$A$196,0)),"CÓDIGO INVÁLIDO"))</f>
        <v/>
      </c>
      <c r="F501" s="373" t="n"/>
      <c r="G501" s="375" t="n"/>
      <c r="H501" s="375" t="n"/>
      <c r="I501" s="376">
        <f>IF(G501="",0,MAX(G501-H501,0))</f>
        <v/>
      </c>
      <c r="J501" s="380" t="n"/>
      <c r="K501" s="162">
        <f>IF(AND(A501="",D501="",G501="",H501=""),"",IF(AND(OR(A501&lt;&gt;"",D501&lt;&gt;""),G501=""),"⏳ PENDENTE (falta qtd. apresentada)",IF(AND(G501&lt;&gt;"",OR(A501="",D501="")),"❌ FALTA Nº RECEBIMENTO/ESCOLA",IF(B501="Nº INVÁLIDO","❌ Nº DE RECEBIMENTO INVÁLIDO",IF(E501="CÓDIGO INVÁLIDO","❌ CÓDIGO DE ESCOLA INVÁLIDO",IF(H501&gt;G501,"❌ REJEITADO MAIOR QUE APRESENTADO",IF(AND(A501&lt;&gt;"",SUMIF($A$60:$A$559,A501,$G$60:$G$559)&gt;INDEX($G$7:$G$56,MATCH(A501,$A$7:$A$56,0))+0.01),"❌ DISTRIBUÍDO MAIS QUE O ACEITO NESSE RECEBIMENTO","OK")))))))</f>
        <v/>
      </c>
      <c r="L501" s="389">
        <f>IF(A501="","",ROW()-59)</f>
        <v/>
      </c>
    </row>
    <row r="502" hidden="1" outlineLevel="1" s="163">
      <c r="A502" s="380" t="n"/>
      <c r="B502" s="372">
        <f>IF(A502="","",IFERROR(INDEX($C$7:$C$56,MATCH(A502,$A$7:$A$56,0)),"Nº INVÁLIDO"))</f>
        <v/>
      </c>
      <c r="C502" s="372">
        <f>IF(A502="","",IFERROR(INDEX($D$7:$D$56,MATCH(A502,$A$7:$A$56,0)),"Nº INVÁLIDO"))</f>
        <v/>
      </c>
      <c r="D502" s="380" t="n"/>
      <c r="E502" s="381">
        <f>IF(D502="","",IFERROR(INDEX('Entrada de Dados'!$B$6:$B$196,MATCH(D502,'Entrada de Dados'!$A$6:$A$196,0)),"CÓDIGO INVÁLIDO"))</f>
        <v/>
      </c>
      <c r="F502" s="373" t="n"/>
      <c r="G502" s="375" t="n"/>
      <c r="H502" s="375" t="n"/>
      <c r="I502" s="376">
        <f>IF(G502="",0,MAX(G502-H502,0))</f>
        <v/>
      </c>
      <c r="J502" s="380" t="n"/>
      <c r="K502" s="162">
        <f>IF(AND(A502="",D502="",G502="",H502=""),"",IF(AND(OR(A502&lt;&gt;"",D502&lt;&gt;""),G502=""),"⏳ PENDENTE (falta qtd. apresentada)",IF(AND(G502&lt;&gt;"",OR(A502="",D502="")),"❌ FALTA Nº RECEBIMENTO/ESCOLA",IF(B502="Nº INVÁLIDO","❌ Nº DE RECEBIMENTO INVÁLIDO",IF(E502="CÓDIGO INVÁLIDO","❌ CÓDIGO DE ESCOLA INVÁLIDO",IF(H502&gt;G502,"❌ REJEITADO MAIOR QUE APRESENTADO",IF(AND(A502&lt;&gt;"",SUMIF($A$60:$A$559,A502,$G$60:$G$559)&gt;INDEX($G$7:$G$56,MATCH(A502,$A$7:$A$56,0))+0.01),"❌ DISTRIBUÍDO MAIS QUE O ACEITO NESSE RECEBIMENTO","OK")))))))</f>
        <v/>
      </c>
      <c r="L502" s="389">
        <f>IF(A502="","",ROW()-59)</f>
        <v/>
      </c>
    </row>
    <row r="503" hidden="1" outlineLevel="1" s="163">
      <c r="A503" s="380" t="n"/>
      <c r="B503" s="372">
        <f>IF(A503="","",IFERROR(INDEX($C$7:$C$56,MATCH(A503,$A$7:$A$56,0)),"Nº INVÁLIDO"))</f>
        <v/>
      </c>
      <c r="C503" s="372">
        <f>IF(A503="","",IFERROR(INDEX($D$7:$D$56,MATCH(A503,$A$7:$A$56,0)),"Nº INVÁLIDO"))</f>
        <v/>
      </c>
      <c r="D503" s="380" t="n"/>
      <c r="E503" s="381">
        <f>IF(D503="","",IFERROR(INDEX('Entrada de Dados'!$B$6:$B$196,MATCH(D503,'Entrada de Dados'!$A$6:$A$196,0)),"CÓDIGO INVÁLIDO"))</f>
        <v/>
      </c>
      <c r="F503" s="373" t="n"/>
      <c r="G503" s="375" t="n"/>
      <c r="H503" s="375" t="n"/>
      <c r="I503" s="376">
        <f>IF(G503="",0,MAX(G503-H503,0))</f>
        <v/>
      </c>
      <c r="J503" s="380" t="n"/>
      <c r="K503" s="162">
        <f>IF(AND(A503="",D503="",G503="",H503=""),"",IF(AND(OR(A503&lt;&gt;"",D503&lt;&gt;""),G503=""),"⏳ PENDENTE (falta qtd. apresentada)",IF(AND(G503&lt;&gt;"",OR(A503="",D503="")),"❌ FALTA Nº RECEBIMENTO/ESCOLA",IF(B503="Nº INVÁLIDO","❌ Nº DE RECEBIMENTO INVÁLIDO",IF(E503="CÓDIGO INVÁLIDO","❌ CÓDIGO DE ESCOLA INVÁLIDO",IF(H503&gt;G503,"❌ REJEITADO MAIOR QUE APRESENTADO",IF(AND(A503&lt;&gt;"",SUMIF($A$60:$A$559,A503,$G$60:$G$559)&gt;INDEX($G$7:$G$56,MATCH(A503,$A$7:$A$56,0))+0.01),"❌ DISTRIBUÍDO MAIS QUE O ACEITO NESSE RECEBIMENTO","OK")))))))</f>
        <v/>
      </c>
      <c r="L503" s="389">
        <f>IF(A503="","",ROW()-59)</f>
        <v/>
      </c>
    </row>
    <row r="504" hidden="1" outlineLevel="1" s="163">
      <c r="A504" s="380" t="n"/>
      <c r="B504" s="372">
        <f>IF(A504="","",IFERROR(INDEX($C$7:$C$56,MATCH(A504,$A$7:$A$56,0)),"Nº INVÁLIDO"))</f>
        <v/>
      </c>
      <c r="C504" s="372">
        <f>IF(A504="","",IFERROR(INDEX($D$7:$D$56,MATCH(A504,$A$7:$A$56,0)),"Nº INVÁLIDO"))</f>
        <v/>
      </c>
      <c r="D504" s="380" t="n"/>
      <c r="E504" s="381">
        <f>IF(D504="","",IFERROR(INDEX('Entrada de Dados'!$B$6:$B$196,MATCH(D504,'Entrada de Dados'!$A$6:$A$196,0)),"CÓDIGO INVÁLIDO"))</f>
        <v/>
      </c>
      <c r="F504" s="373" t="n"/>
      <c r="G504" s="375" t="n"/>
      <c r="H504" s="375" t="n"/>
      <c r="I504" s="376">
        <f>IF(G504="",0,MAX(G504-H504,0))</f>
        <v/>
      </c>
      <c r="J504" s="380" t="n"/>
      <c r="K504" s="162">
        <f>IF(AND(A504="",D504="",G504="",H504=""),"",IF(AND(OR(A504&lt;&gt;"",D504&lt;&gt;""),G504=""),"⏳ PENDENTE (falta qtd. apresentada)",IF(AND(G504&lt;&gt;"",OR(A504="",D504="")),"❌ FALTA Nº RECEBIMENTO/ESCOLA",IF(B504="Nº INVÁLIDO","❌ Nº DE RECEBIMENTO INVÁLIDO",IF(E504="CÓDIGO INVÁLIDO","❌ CÓDIGO DE ESCOLA INVÁLIDO",IF(H504&gt;G504,"❌ REJEITADO MAIOR QUE APRESENTADO",IF(AND(A504&lt;&gt;"",SUMIF($A$60:$A$559,A504,$G$60:$G$559)&gt;INDEX($G$7:$G$56,MATCH(A504,$A$7:$A$56,0))+0.01),"❌ DISTRIBUÍDO MAIS QUE O ACEITO NESSE RECEBIMENTO","OK")))))))</f>
        <v/>
      </c>
      <c r="L504" s="389">
        <f>IF(A504="","",ROW()-59)</f>
        <v/>
      </c>
    </row>
    <row r="505" hidden="1" outlineLevel="1" s="163">
      <c r="A505" s="380" t="n"/>
      <c r="B505" s="372">
        <f>IF(A505="","",IFERROR(INDEX($C$7:$C$56,MATCH(A505,$A$7:$A$56,0)),"Nº INVÁLIDO"))</f>
        <v/>
      </c>
      <c r="C505" s="372">
        <f>IF(A505="","",IFERROR(INDEX($D$7:$D$56,MATCH(A505,$A$7:$A$56,0)),"Nº INVÁLIDO"))</f>
        <v/>
      </c>
      <c r="D505" s="380" t="n"/>
      <c r="E505" s="381">
        <f>IF(D505="","",IFERROR(INDEX('Entrada de Dados'!$B$6:$B$196,MATCH(D505,'Entrada de Dados'!$A$6:$A$196,0)),"CÓDIGO INVÁLIDO"))</f>
        <v/>
      </c>
      <c r="F505" s="373" t="n"/>
      <c r="G505" s="375" t="n"/>
      <c r="H505" s="375" t="n"/>
      <c r="I505" s="376">
        <f>IF(G505="",0,MAX(G505-H505,0))</f>
        <v/>
      </c>
      <c r="J505" s="380" t="n"/>
      <c r="K505" s="162">
        <f>IF(AND(A505="",D505="",G505="",H505=""),"",IF(AND(OR(A505&lt;&gt;"",D505&lt;&gt;""),G505=""),"⏳ PENDENTE (falta qtd. apresentada)",IF(AND(G505&lt;&gt;"",OR(A505="",D505="")),"❌ FALTA Nº RECEBIMENTO/ESCOLA",IF(B505="Nº INVÁLIDO","❌ Nº DE RECEBIMENTO INVÁLIDO",IF(E505="CÓDIGO INVÁLIDO","❌ CÓDIGO DE ESCOLA INVÁLIDO",IF(H505&gt;G505,"❌ REJEITADO MAIOR QUE APRESENTADO",IF(AND(A505&lt;&gt;"",SUMIF($A$60:$A$559,A505,$G$60:$G$559)&gt;INDEX($G$7:$G$56,MATCH(A505,$A$7:$A$56,0))+0.01),"❌ DISTRIBUÍDO MAIS QUE O ACEITO NESSE RECEBIMENTO","OK")))))))</f>
        <v/>
      </c>
      <c r="L505" s="389">
        <f>IF(A505="","",ROW()-59)</f>
        <v/>
      </c>
    </row>
    <row r="506" hidden="1" outlineLevel="1" s="163">
      <c r="A506" s="380" t="n"/>
      <c r="B506" s="372">
        <f>IF(A506="","",IFERROR(INDEX($C$7:$C$56,MATCH(A506,$A$7:$A$56,0)),"Nº INVÁLIDO"))</f>
        <v/>
      </c>
      <c r="C506" s="372">
        <f>IF(A506="","",IFERROR(INDEX($D$7:$D$56,MATCH(A506,$A$7:$A$56,0)),"Nº INVÁLIDO"))</f>
        <v/>
      </c>
      <c r="D506" s="380" t="n"/>
      <c r="E506" s="381">
        <f>IF(D506="","",IFERROR(INDEX('Entrada de Dados'!$B$6:$B$196,MATCH(D506,'Entrada de Dados'!$A$6:$A$196,0)),"CÓDIGO INVÁLIDO"))</f>
        <v/>
      </c>
      <c r="F506" s="373" t="n"/>
      <c r="G506" s="375" t="n"/>
      <c r="H506" s="375" t="n"/>
      <c r="I506" s="376">
        <f>IF(G506="",0,MAX(G506-H506,0))</f>
        <v/>
      </c>
      <c r="J506" s="380" t="n"/>
      <c r="K506" s="162">
        <f>IF(AND(A506="",D506="",G506="",H506=""),"",IF(AND(OR(A506&lt;&gt;"",D506&lt;&gt;""),G506=""),"⏳ PENDENTE (falta qtd. apresentada)",IF(AND(G506&lt;&gt;"",OR(A506="",D506="")),"❌ FALTA Nº RECEBIMENTO/ESCOLA",IF(B506="Nº INVÁLIDO","❌ Nº DE RECEBIMENTO INVÁLIDO",IF(E506="CÓDIGO INVÁLIDO","❌ CÓDIGO DE ESCOLA INVÁLIDO",IF(H506&gt;G506,"❌ REJEITADO MAIOR QUE APRESENTADO",IF(AND(A506&lt;&gt;"",SUMIF($A$60:$A$559,A506,$G$60:$G$559)&gt;INDEX($G$7:$G$56,MATCH(A506,$A$7:$A$56,0))+0.01),"❌ DISTRIBUÍDO MAIS QUE O ACEITO NESSE RECEBIMENTO","OK")))))))</f>
        <v/>
      </c>
      <c r="L506" s="389">
        <f>IF(A506="","",ROW()-59)</f>
        <v/>
      </c>
    </row>
    <row r="507" hidden="1" outlineLevel="1" s="163">
      <c r="A507" s="380" t="n"/>
      <c r="B507" s="372">
        <f>IF(A507="","",IFERROR(INDEX($C$7:$C$56,MATCH(A507,$A$7:$A$56,0)),"Nº INVÁLIDO"))</f>
        <v/>
      </c>
      <c r="C507" s="372">
        <f>IF(A507="","",IFERROR(INDEX($D$7:$D$56,MATCH(A507,$A$7:$A$56,0)),"Nº INVÁLIDO"))</f>
        <v/>
      </c>
      <c r="D507" s="380" t="n"/>
      <c r="E507" s="381">
        <f>IF(D507="","",IFERROR(INDEX('Entrada de Dados'!$B$6:$B$196,MATCH(D507,'Entrada de Dados'!$A$6:$A$196,0)),"CÓDIGO INVÁLIDO"))</f>
        <v/>
      </c>
      <c r="F507" s="373" t="n"/>
      <c r="G507" s="375" t="n"/>
      <c r="H507" s="375" t="n"/>
      <c r="I507" s="376">
        <f>IF(G507="",0,MAX(G507-H507,0))</f>
        <v/>
      </c>
      <c r="J507" s="380" t="n"/>
      <c r="K507" s="162">
        <f>IF(AND(A507="",D507="",G507="",H507=""),"",IF(AND(OR(A507&lt;&gt;"",D507&lt;&gt;""),G507=""),"⏳ PENDENTE (falta qtd. apresentada)",IF(AND(G507&lt;&gt;"",OR(A507="",D507="")),"❌ FALTA Nº RECEBIMENTO/ESCOLA",IF(B507="Nº INVÁLIDO","❌ Nº DE RECEBIMENTO INVÁLIDO",IF(E507="CÓDIGO INVÁLIDO","❌ CÓDIGO DE ESCOLA INVÁLIDO",IF(H507&gt;G507,"❌ REJEITADO MAIOR QUE APRESENTADO",IF(AND(A507&lt;&gt;"",SUMIF($A$60:$A$559,A507,$G$60:$G$559)&gt;INDEX($G$7:$G$56,MATCH(A507,$A$7:$A$56,0))+0.01),"❌ DISTRIBUÍDO MAIS QUE O ACEITO NESSE RECEBIMENTO","OK")))))))</f>
        <v/>
      </c>
      <c r="L507" s="389">
        <f>IF(A507="","",ROW()-59)</f>
        <v/>
      </c>
    </row>
    <row r="508" hidden="1" outlineLevel="1" s="163">
      <c r="A508" s="380" t="n"/>
      <c r="B508" s="372">
        <f>IF(A508="","",IFERROR(INDEX($C$7:$C$56,MATCH(A508,$A$7:$A$56,0)),"Nº INVÁLIDO"))</f>
        <v/>
      </c>
      <c r="C508" s="372">
        <f>IF(A508="","",IFERROR(INDEX($D$7:$D$56,MATCH(A508,$A$7:$A$56,0)),"Nº INVÁLIDO"))</f>
        <v/>
      </c>
      <c r="D508" s="380" t="n"/>
      <c r="E508" s="381">
        <f>IF(D508="","",IFERROR(INDEX('Entrada de Dados'!$B$6:$B$196,MATCH(D508,'Entrada de Dados'!$A$6:$A$196,0)),"CÓDIGO INVÁLIDO"))</f>
        <v/>
      </c>
      <c r="F508" s="373" t="n"/>
      <c r="G508" s="375" t="n"/>
      <c r="H508" s="375" t="n"/>
      <c r="I508" s="376">
        <f>IF(G508="",0,MAX(G508-H508,0))</f>
        <v/>
      </c>
      <c r="J508" s="380" t="n"/>
      <c r="K508" s="162">
        <f>IF(AND(A508="",D508="",G508="",H508=""),"",IF(AND(OR(A508&lt;&gt;"",D508&lt;&gt;""),G508=""),"⏳ PENDENTE (falta qtd. apresentada)",IF(AND(G508&lt;&gt;"",OR(A508="",D508="")),"❌ FALTA Nº RECEBIMENTO/ESCOLA",IF(B508="Nº INVÁLIDO","❌ Nº DE RECEBIMENTO INVÁLIDO",IF(E508="CÓDIGO INVÁLIDO","❌ CÓDIGO DE ESCOLA INVÁLIDO",IF(H508&gt;G508,"❌ REJEITADO MAIOR QUE APRESENTADO",IF(AND(A508&lt;&gt;"",SUMIF($A$60:$A$559,A508,$G$60:$G$559)&gt;INDEX($G$7:$G$56,MATCH(A508,$A$7:$A$56,0))+0.01),"❌ DISTRIBUÍDO MAIS QUE O ACEITO NESSE RECEBIMENTO","OK")))))))</f>
        <v/>
      </c>
      <c r="L508" s="389">
        <f>IF(A508="","",ROW()-59)</f>
        <v/>
      </c>
    </row>
    <row r="509" hidden="1" outlineLevel="1" s="163">
      <c r="A509" s="380" t="n"/>
      <c r="B509" s="372">
        <f>IF(A509="","",IFERROR(INDEX($C$7:$C$56,MATCH(A509,$A$7:$A$56,0)),"Nº INVÁLIDO"))</f>
        <v/>
      </c>
      <c r="C509" s="372">
        <f>IF(A509="","",IFERROR(INDEX($D$7:$D$56,MATCH(A509,$A$7:$A$56,0)),"Nº INVÁLIDO"))</f>
        <v/>
      </c>
      <c r="D509" s="380" t="n"/>
      <c r="E509" s="381">
        <f>IF(D509="","",IFERROR(INDEX('Entrada de Dados'!$B$6:$B$196,MATCH(D509,'Entrada de Dados'!$A$6:$A$196,0)),"CÓDIGO INVÁLIDO"))</f>
        <v/>
      </c>
      <c r="F509" s="373" t="n"/>
      <c r="G509" s="375" t="n"/>
      <c r="H509" s="375" t="n"/>
      <c r="I509" s="376">
        <f>IF(G509="",0,MAX(G509-H509,0))</f>
        <v/>
      </c>
      <c r="J509" s="380" t="n"/>
      <c r="K509" s="162">
        <f>IF(AND(A509="",D509="",G509="",H509=""),"",IF(AND(OR(A509&lt;&gt;"",D509&lt;&gt;""),G509=""),"⏳ PENDENTE (falta qtd. apresentada)",IF(AND(G509&lt;&gt;"",OR(A509="",D509="")),"❌ FALTA Nº RECEBIMENTO/ESCOLA",IF(B509="Nº INVÁLIDO","❌ Nº DE RECEBIMENTO INVÁLIDO",IF(E509="CÓDIGO INVÁLIDO","❌ CÓDIGO DE ESCOLA INVÁLIDO",IF(H509&gt;G509,"❌ REJEITADO MAIOR QUE APRESENTADO",IF(AND(A509&lt;&gt;"",SUMIF($A$60:$A$559,A509,$G$60:$G$559)&gt;INDEX($G$7:$G$56,MATCH(A509,$A$7:$A$56,0))+0.01),"❌ DISTRIBUÍDO MAIS QUE O ACEITO NESSE RECEBIMENTO","OK")))))))</f>
        <v/>
      </c>
      <c r="L509" s="389">
        <f>IF(A509="","",ROW()-59)</f>
        <v/>
      </c>
    </row>
    <row r="510" hidden="1" outlineLevel="1" s="163">
      <c r="A510" s="380" t="n"/>
      <c r="B510" s="372">
        <f>IF(A510="","",IFERROR(INDEX($C$7:$C$56,MATCH(A510,$A$7:$A$56,0)),"Nº INVÁLIDO"))</f>
        <v/>
      </c>
      <c r="C510" s="372">
        <f>IF(A510="","",IFERROR(INDEX($D$7:$D$56,MATCH(A510,$A$7:$A$56,0)),"Nº INVÁLIDO"))</f>
        <v/>
      </c>
      <c r="D510" s="380" t="n"/>
      <c r="E510" s="381">
        <f>IF(D510="","",IFERROR(INDEX('Entrada de Dados'!$B$6:$B$196,MATCH(D510,'Entrada de Dados'!$A$6:$A$196,0)),"CÓDIGO INVÁLIDO"))</f>
        <v/>
      </c>
      <c r="F510" s="373" t="n"/>
      <c r="G510" s="375" t="n"/>
      <c r="H510" s="375" t="n"/>
      <c r="I510" s="376">
        <f>IF(G510="",0,MAX(G510-H510,0))</f>
        <v/>
      </c>
      <c r="J510" s="380" t="n"/>
      <c r="K510" s="162">
        <f>IF(AND(A510="",D510="",G510="",H510=""),"",IF(AND(OR(A510&lt;&gt;"",D510&lt;&gt;""),G510=""),"⏳ PENDENTE (falta qtd. apresentada)",IF(AND(G510&lt;&gt;"",OR(A510="",D510="")),"❌ FALTA Nº RECEBIMENTO/ESCOLA",IF(B510="Nº INVÁLIDO","❌ Nº DE RECEBIMENTO INVÁLIDO",IF(E510="CÓDIGO INVÁLIDO","❌ CÓDIGO DE ESCOLA INVÁLIDO",IF(H510&gt;G510,"❌ REJEITADO MAIOR QUE APRESENTADO",IF(AND(A510&lt;&gt;"",SUMIF($A$60:$A$559,A510,$G$60:$G$559)&gt;INDEX($G$7:$G$56,MATCH(A510,$A$7:$A$56,0))+0.01),"❌ DISTRIBUÍDO MAIS QUE O ACEITO NESSE RECEBIMENTO","OK")))))))</f>
        <v/>
      </c>
      <c r="L510" s="389">
        <f>IF(A510="","",ROW()-59)</f>
        <v/>
      </c>
    </row>
    <row r="511" hidden="1" outlineLevel="1" s="163">
      <c r="A511" s="380" t="n"/>
      <c r="B511" s="372">
        <f>IF(A511="","",IFERROR(INDEX($C$7:$C$56,MATCH(A511,$A$7:$A$56,0)),"Nº INVÁLIDO"))</f>
        <v/>
      </c>
      <c r="C511" s="372">
        <f>IF(A511="","",IFERROR(INDEX($D$7:$D$56,MATCH(A511,$A$7:$A$56,0)),"Nº INVÁLIDO"))</f>
        <v/>
      </c>
      <c r="D511" s="380" t="n"/>
      <c r="E511" s="381">
        <f>IF(D511="","",IFERROR(INDEX('Entrada de Dados'!$B$6:$B$196,MATCH(D511,'Entrada de Dados'!$A$6:$A$196,0)),"CÓDIGO INVÁLIDO"))</f>
        <v/>
      </c>
      <c r="F511" s="373" t="n"/>
      <c r="G511" s="375" t="n"/>
      <c r="H511" s="375" t="n"/>
      <c r="I511" s="376">
        <f>IF(G511="",0,MAX(G511-H511,0))</f>
        <v/>
      </c>
      <c r="J511" s="380" t="n"/>
      <c r="K511" s="162">
        <f>IF(AND(A511="",D511="",G511="",H511=""),"",IF(AND(OR(A511&lt;&gt;"",D511&lt;&gt;""),G511=""),"⏳ PENDENTE (falta qtd. apresentada)",IF(AND(G511&lt;&gt;"",OR(A511="",D511="")),"❌ FALTA Nº RECEBIMENTO/ESCOLA",IF(B511="Nº INVÁLIDO","❌ Nº DE RECEBIMENTO INVÁLIDO",IF(E511="CÓDIGO INVÁLIDO","❌ CÓDIGO DE ESCOLA INVÁLIDO",IF(H511&gt;G511,"❌ REJEITADO MAIOR QUE APRESENTADO",IF(AND(A511&lt;&gt;"",SUMIF($A$60:$A$559,A511,$G$60:$G$559)&gt;INDEX($G$7:$G$56,MATCH(A511,$A$7:$A$56,0))+0.01),"❌ DISTRIBUÍDO MAIS QUE O ACEITO NESSE RECEBIMENTO","OK")))))))</f>
        <v/>
      </c>
      <c r="L511" s="389">
        <f>IF(A511="","",ROW()-59)</f>
        <v/>
      </c>
    </row>
    <row r="512" hidden="1" outlineLevel="1" s="163">
      <c r="A512" s="380" t="n"/>
      <c r="B512" s="372">
        <f>IF(A512="","",IFERROR(INDEX($C$7:$C$56,MATCH(A512,$A$7:$A$56,0)),"Nº INVÁLIDO"))</f>
        <v/>
      </c>
      <c r="C512" s="372">
        <f>IF(A512="","",IFERROR(INDEX($D$7:$D$56,MATCH(A512,$A$7:$A$56,0)),"Nº INVÁLIDO"))</f>
        <v/>
      </c>
      <c r="D512" s="380" t="n"/>
      <c r="E512" s="381">
        <f>IF(D512="","",IFERROR(INDEX('Entrada de Dados'!$B$6:$B$196,MATCH(D512,'Entrada de Dados'!$A$6:$A$196,0)),"CÓDIGO INVÁLIDO"))</f>
        <v/>
      </c>
      <c r="F512" s="373" t="n"/>
      <c r="G512" s="375" t="n"/>
      <c r="H512" s="375" t="n"/>
      <c r="I512" s="376">
        <f>IF(G512="",0,MAX(G512-H512,0))</f>
        <v/>
      </c>
      <c r="J512" s="380" t="n"/>
      <c r="K512" s="162">
        <f>IF(AND(A512="",D512="",G512="",H512=""),"",IF(AND(OR(A512&lt;&gt;"",D512&lt;&gt;""),G512=""),"⏳ PENDENTE (falta qtd. apresentada)",IF(AND(G512&lt;&gt;"",OR(A512="",D512="")),"❌ FALTA Nº RECEBIMENTO/ESCOLA",IF(B512="Nº INVÁLIDO","❌ Nº DE RECEBIMENTO INVÁLIDO",IF(E512="CÓDIGO INVÁLIDO","❌ CÓDIGO DE ESCOLA INVÁLIDO",IF(H512&gt;G512,"❌ REJEITADO MAIOR QUE APRESENTADO",IF(AND(A512&lt;&gt;"",SUMIF($A$60:$A$559,A512,$G$60:$G$559)&gt;INDEX($G$7:$G$56,MATCH(A512,$A$7:$A$56,0))+0.01),"❌ DISTRIBUÍDO MAIS QUE O ACEITO NESSE RECEBIMENTO","OK")))))))</f>
        <v/>
      </c>
      <c r="L512" s="389">
        <f>IF(A512="","",ROW()-59)</f>
        <v/>
      </c>
    </row>
    <row r="513" hidden="1" outlineLevel="1" s="163">
      <c r="A513" s="380" t="n"/>
      <c r="B513" s="372">
        <f>IF(A513="","",IFERROR(INDEX($C$7:$C$56,MATCH(A513,$A$7:$A$56,0)),"Nº INVÁLIDO"))</f>
        <v/>
      </c>
      <c r="C513" s="372">
        <f>IF(A513="","",IFERROR(INDEX($D$7:$D$56,MATCH(A513,$A$7:$A$56,0)),"Nº INVÁLIDO"))</f>
        <v/>
      </c>
      <c r="D513" s="380" t="n"/>
      <c r="E513" s="381">
        <f>IF(D513="","",IFERROR(INDEX('Entrada de Dados'!$B$6:$B$196,MATCH(D513,'Entrada de Dados'!$A$6:$A$196,0)),"CÓDIGO INVÁLIDO"))</f>
        <v/>
      </c>
      <c r="F513" s="373" t="n"/>
      <c r="G513" s="375" t="n"/>
      <c r="H513" s="375" t="n"/>
      <c r="I513" s="376">
        <f>IF(G513="",0,MAX(G513-H513,0))</f>
        <v/>
      </c>
      <c r="J513" s="380" t="n"/>
      <c r="K513" s="162">
        <f>IF(AND(A513="",D513="",G513="",H513=""),"",IF(AND(OR(A513&lt;&gt;"",D513&lt;&gt;""),G513=""),"⏳ PENDENTE (falta qtd. apresentada)",IF(AND(G513&lt;&gt;"",OR(A513="",D513="")),"❌ FALTA Nº RECEBIMENTO/ESCOLA",IF(B513="Nº INVÁLIDO","❌ Nº DE RECEBIMENTO INVÁLIDO",IF(E513="CÓDIGO INVÁLIDO","❌ CÓDIGO DE ESCOLA INVÁLIDO",IF(H513&gt;G513,"❌ REJEITADO MAIOR QUE APRESENTADO",IF(AND(A513&lt;&gt;"",SUMIF($A$60:$A$559,A513,$G$60:$G$559)&gt;INDEX($G$7:$G$56,MATCH(A513,$A$7:$A$56,0))+0.01),"❌ DISTRIBUÍDO MAIS QUE O ACEITO NESSE RECEBIMENTO","OK")))))))</f>
        <v/>
      </c>
      <c r="L513" s="389">
        <f>IF(A513="","",ROW()-59)</f>
        <v/>
      </c>
    </row>
    <row r="514" hidden="1" outlineLevel="1" s="163">
      <c r="A514" s="380" t="n"/>
      <c r="B514" s="372">
        <f>IF(A514="","",IFERROR(INDEX($C$7:$C$56,MATCH(A514,$A$7:$A$56,0)),"Nº INVÁLIDO"))</f>
        <v/>
      </c>
      <c r="C514" s="372">
        <f>IF(A514="","",IFERROR(INDEX($D$7:$D$56,MATCH(A514,$A$7:$A$56,0)),"Nº INVÁLIDO"))</f>
        <v/>
      </c>
      <c r="D514" s="380" t="n"/>
      <c r="E514" s="381">
        <f>IF(D514="","",IFERROR(INDEX('Entrada de Dados'!$B$6:$B$196,MATCH(D514,'Entrada de Dados'!$A$6:$A$196,0)),"CÓDIGO INVÁLIDO"))</f>
        <v/>
      </c>
      <c r="F514" s="373" t="n"/>
      <c r="G514" s="375" t="n"/>
      <c r="H514" s="375" t="n"/>
      <c r="I514" s="376">
        <f>IF(G514="",0,MAX(G514-H514,0))</f>
        <v/>
      </c>
      <c r="J514" s="380" t="n"/>
      <c r="K514" s="162">
        <f>IF(AND(A514="",D514="",G514="",H514=""),"",IF(AND(OR(A514&lt;&gt;"",D514&lt;&gt;""),G514=""),"⏳ PENDENTE (falta qtd. apresentada)",IF(AND(G514&lt;&gt;"",OR(A514="",D514="")),"❌ FALTA Nº RECEBIMENTO/ESCOLA",IF(B514="Nº INVÁLIDO","❌ Nº DE RECEBIMENTO INVÁLIDO",IF(E514="CÓDIGO INVÁLIDO","❌ CÓDIGO DE ESCOLA INVÁLIDO",IF(H514&gt;G514,"❌ REJEITADO MAIOR QUE APRESENTADO",IF(AND(A514&lt;&gt;"",SUMIF($A$60:$A$559,A514,$G$60:$G$559)&gt;INDEX($G$7:$G$56,MATCH(A514,$A$7:$A$56,0))+0.01),"❌ DISTRIBUÍDO MAIS QUE O ACEITO NESSE RECEBIMENTO","OK")))))))</f>
        <v/>
      </c>
      <c r="L514" s="389">
        <f>IF(A514="","",ROW()-59)</f>
        <v/>
      </c>
    </row>
    <row r="515" hidden="1" outlineLevel="1" s="163">
      <c r="A515" s="380" t="n"/>
      <c r="B515" s="372">
        <f>IF(A515="","",IFERROR(INDEX($C$7:$C$56,MATCH(A515,$A$7:$A$56,0)),"Nº INVÁLIDO"))</f>
        <v/>
      </c>
      <c r="C515" s="372">
        <f>IF(A515="","",IFERROR(INDEX($D$7:$D$56,MATCH(A515,$A$7:$A$56,0)),"Nº INVÁLIDO"))</f>
        <v/>
      </c>
      <c r="D515" s="380" t="n"/>
      <c r="E515" s="381">
        <f>IF(D515="","",IFERROR(INDEX('Entrada de Dados'!$B$6:$B$196,MATCH(D515,'Entrada de Dados'!$A$6:$A$196,0)),"CÓDIGO INVÁLIDO"))</f>
        <v/>
      </c>
      <c r="F515" s="373" t="n"/>
      <c r="G515" s="375" t="n"/>
      <c r="H515" s="375" t="n"/>
      <c r="I515" s="376">
        <f>IF(G515="",0,MAX(G515-H515,0))</f>
        <v/>
      </c>
      <c r="J515" s="380" t="n"/>
      <c r="K515" s="162">
        <f>IF(AND(A515="",D515="",G515="",H515=""),"",IF(AND(OR(A515&lt;&gt;"",D515&lt;&gt;""),G515=""),"⏳ PENDENTE (falta qtd. apresentada)",IF(AND(G515&lt;&gt;"",OR(A515="",D515="")),"❌ FALTA Nº RECEBIMENTO/ESCOLA",IF(B515="Nº INVÁLIDO","❌ Nº DE RECEBIMENTO INVÁLIDO",IF(E515="CÓDIGO INVÁLIDO","❌ CÓDIGO DE ESCOLA INVÁLIDO",IF(H515&gt;G515,"❌ REJEITADO MAIOR QUE APRESENTADO",IF(AND(A515&lt;&gt;"",SUMIF($A$60:$A$559,A515,$G$60:$G$559)&gt;INDEX($G$7:$G$56,MATCH(A515,$A$7:$A$56,0))+0.01),"❌ DISTRIBUÍDO MAIS QUE O ACEITO NESSE RECEBIMENTO","OK")))))))</f>
        <v/>
      </c>
      <c r="L515" s="389">
        <f>IF(A515="","",ROW()-59)</f>
        <v/>
      </c>
    </row>
    <row r="516" hidden="1" outlineLevel="1" s="163">
      <c r="A516" s="380" t="n"/>
      <c r="B516" s="372">
        <f>IF(A516="","",IFERROR(INDEX($C$7:$C$56,MATCH(A516,$A$7:$A$56,0)),"Nº INVÁLIDO"))</f>
        <v/>
      </c>
      <c r="C516" s="372">
        <f>IF(A516="","",IFERROR(INDEX($D$7:$D$56,MATCH(A516,$A$7:$A$56,0)),"Nº INVÁLIDO"))</f>
        <v/>
      </c>
      <c r="D516" s="380" t="n"/>
      <c r="E516" s="381">
        <f>IF(D516="","",IFERROR(INDEX('Entrada de Dados'!$B$6:$B$196,MATCH(D516,'Entrada de Dados'!$A$6:$A$196,0)),"CÓDIGO INVÁLIDO"))</f>
        <v/>
      </c>
      <c r="F516" s="373" t="n"/>
      <c r="G516" s="375" t="n"/>
      <c r="H516" s="375" t="n"/>
      <c r="I516" s="376">
        <f>IF(G516="",0,MAX(G516-H516,0))</f>
        <v/>
      </c>
      <c r="J516" s="380" t="n"/>
      <c r="K516" s="162">
        <f>IF(AND(A516="",D516="",G516="",H516=""),"",IF(AND(OR(A516&lt;&gt;"",D516&lt;&gt;""),G516=""),"⏳ PENDENTE (falta qtd. apresentada)",IF(AND(G516&lt;&gt;"",OR(A516="",D516="")),"❌ FALTA Nº RECEBIMENTO/ESCOLA",IF(B516="Nº INVÁLIDO","❌ Nº DE RECEBIMENTO INVÁLIDO",IF(E516="CÓDIGO INVÁLIDO","❌ CÓDIGO DE ESCOLA INVÁLIDO",IF(H516&gt;G516,"❌ REJEITADO MAIOR QUE APRESENTADO",IF(AND(A516&lt;&gt;"",SUMIF($A$60:$A$559,A516,$G$60:$G$559)&gt;INDEX($G$7:$G$56,MATCH(A516,$A$7:$A$56,0))+0.01),"❌ DISTRIBUÍDO MAIS QUE O ACEITO NESSE RECEBIMENTO","OK")))))))</f>
        <v/>
      </c>
      <c r="L516" s="389">
        <f>IF(A516="","",ROW()-59)</f>
        <v/>
      </c>
    </row>
    <row r="517" hidden="1" outlineLevel="1" s="163">
      <c r="A517" s="380" t="n"/>
      <c r="B517" s="372">
        <f>IF(A517="","",IFERROR(INDEX($C$7:$C$56,MATCH(A517,$A$7:$A$56,0)),"Nº INVÁLIDO"))</f>
        <v/>
      </c>
      <c r="C517" s="372">
        <f>IF(A517="","",IFERROR(INDEX($D$7:$D$56,MATCH(A517,$A$7:$A$56,0)),"Nº INVÁLIDO"))</f>
        <v/>
      </c>
      <c r="D517" s="380" t="n"/>
      <c r="E517" s="381">
        <f>IF(D517="","",IFERROR(INDEX('Entrada de Dados'!$B$6:$B$196,MATCH(D517,'Entrada de Dados'!$A$6:$A$196,0)),"CÓDIGO INVÁLIDO"))</f>
        <v/>
      </c>
      <c r="F517" s="373" t="n"/>
      <c r="G517" s="375" t="n"/>
      <c r="H517" s="375" t="n"/>
      <c r="I517" s="376">
        <f>IF(G517="",0,MAX(G517-H517,0))</f>
        <v/>
      </c>
      <c r="J517" s="380" t="n"/>
      <c r="K517" s="162">
        <f>IF(AND(A517="",D517="",G517="",H517=""),"",IF(AND(OR(A517&lt;&gt;"",D517&lt;&gt;""),G517=""),"⏳ PENDENTE (falta qtd. apresentada)",IF(AND(G517&lt;&gt;"",OR(A517="",D517="")),"❌ FALTA Nº RECEBIMENTO/ESCOLA",IF(B517="Nº INVÁLIDO","❌ Nº DE RECEBIMENTO INVÁLIDO",IF(E517="CÓDIGO INVÁLIDO","❌ CÓDIGO DE ESCOLA INVÁLIDO",IF(H517&gt;G517,"❌ REJEITADO MAIOR QUE APRESENTADO",IF(AND(A517&lt;&gt;"",SUMIF($A$60:$A$559,A517,$G$60:$G$559)&gt;INDEX($G$7:$G$56,MATCH(A517,$A$7:$A$56,0))+0.01),"❌ DISTRIBUÍDO MAIS QUE O ACEITO NESSE RECEBIMENTO","OK")))))))</f>
        <v/>
      </c>
      <c r="L517" s="389">
        <f>IF(A517="","",ROW()-59)</f>
        <v/>
      </c>
    </row>
    <row r="518" hidden="1" outlineLevel="1" s="163">
      <c r="A518" s="380" t="n"/>
      <c r="B518" s="372">
        <f>IF(A518="","",IFERROR(INDEX($C$7:$C$56,MATCH(A518,$A$7:$A$56,0)),"Nº INVÁLIDO"))</f>
        <v/>
      </c>
      <c r="C518" s="372">
        <f>IF(A518="","",IFERROR(INDEX($D$7:$D$56,MATCH(A518,$A$7:$A$56,0)),"Nº INVÁLIDO"))</f>
        <v/>
      </c>
      <c r="D518" s="380" t="n"/>
      <c r="E518" s="381">
        <f>IF(D518="","",IFERROR(INDEX('Entrada de Dados'!$B$6:$B$196,MATCH(D518,'Entrada de Dados'!$A$6:$A$196,0)),"CÓDIGO INVÁLIDO"))</f>
        <v/>
      </c>
      <c r="F518" s="373" t="n"/>
      <c r="G518" s="375" t="n"/>
      <c r="H518" s="375" t="n"/>
      <c r="I518" s="376">
        <f>IF(G518="",0,MAX(G518-H518,0))</f>
        <v/>
      </c>
      <c r="J518" s="380" t="n"/>
      <c r="K518" s="162">
        <f>IF(AND(A518="",D518="",G518="",H518=""),"",IF(AND(OR(A518&lt;&gt;"",D518&lt;&gt;""),G518=""),"⏳ PENDENTE (falta qtd. apresentada)",IF(AND(G518&lt;&gt;"",OR(A518="",D518="")),"❌ FALTA Nº RECEBIMENTO/ESCOLA",IF(B518="Nº INVÁLIDO","❌ Nº DE RECEBIMENTO INVÁLIDO",IF(E518="CÓDIGO INVÁLIDO","❌ CÓDIGO DE ESCOLA INVÁLIDO",IF(H518&gt;G518,"❌ REJEITADO MAIOR QUE APRESENTADO",IF(AND(A518&lt;&gt;"",SUMIF($A$60:$A$559,A518,$G$60:$G$559)&gt;INDEX($G$7:$G$56,MATCH(A518,$A$7:$A$56,0))+0.01),"❌ DISTRIBUÍDO MAIS QUE O ACEITO NESSE RECEBIMENTO","OK")))))))</f>
        <v/>
      </c>
      <c r="L518" s="389">
        <f>IF(A518="","",ROW()-59)</f>
        <v/>
      </c>
    </row>
    <row r="519" hidden="1" outlineLevel="1" s="163">
      <c r="A519" s="380" t="n"/>
      <c r="B519" s="372">
        <f>IF(A519="","",IFERROR(INDEX($C$7:$C$56,MATCH(A519,$A$7:$A$56,0)),"Nº INVÁLIDO"))</f>
        <v/>
      </c>
      <c r="C519" s="372">
        <f>IF(A519="","",IFERROR(INDEX($D$7:$D$56,MATCH(A519,$A$7:$A$56,0)),"Nº INVÁLIDO"))</f>
        <v/>
      </c>
      <c r="D519" s="380" t="n"/>
      <c r="E519" s="381">
        <f>IF(D519="","",IFERROR(INDEX('Entrada de Dados'!$B$6:$B$196,MATCH(D519,'Entrada de Dados'!$A$6:$A$196,0)),"CÓDIGO INVÁLIDO"))</f>
        <v/>
      </c>
      <c r="F519" s="373" t="n"/>
      <c r="G519" s="375" t="n"/>
      <c r="H519" s="375" t="n"/>
      <c r="I519" s="376">
        <f>IF(G519="",0,MAX(G519-H519,0))</f>
        <v/>
      </c>
      <c r="J519" s="380" t="n"/>
      <c r="K519" s="162">
        <f>IF(AND(A519="",D519="",G519="",H519=""),"",IF(AND(OR(A519&lt;&gt;"",D519&lt;&gt;""),G519=""),"⏳ PENDENTE (falta qtd. apresentada)",IF(AND(G519&lt;&gt;"",OR(A519="",D519="")),"❌ FALTA Nº RECEBIMENTO/ESCOLA",IF(B519="Nº INVÁLIDO","❌ Nº DE RECEBIMENTO INVÁLIDO",IF(E519="CÓDIGO INVÁLIDO","❌ CÓDIGO DE ESCOLA INVÁLIDO",IF(H519&gt;G519,"❌ REJEITADO MAIOR QUE APRESENTADO",IF(AND(A519&lt;&gt;"",SUMIF($A$60:$A$559,A519,$G$60:$G$559)&gt;INDEX($G$7:$G$56,MATCH(A519,$A$7:$A$56,0))+0.01),"❌ DISTRIBUÍDO MAIS QUE O ACEITO NESSE RECEBIMENTO","OK")))))))</f>
        <v/>
      </c>
      <c r="L519" s="389">
        <f>IF(A519="","",ROW()-59)</f>
        <v/>
      </c>
    </row>
    <row r="520" hidden="1" outlineLevel="1" s="163">
      <c r="A520" s="380" t="n"/>
      <c r="B520" s="372">
        <f>IF(A520="","",IFERROR(INDEX($C$7:$C$56,MATCH(A520,$A$7:$A$56,0)),"Nº INVÁLIDO"))</f>
        <v/>
      </c>
      <c r="C520" s="372">
        <f>IF(A520="","",IFERROR(INDEX($D$7:$D$56,MATCH(A520,$A$7:$A$56,0)),"Nº INVÁLIDO"))</f>
        <v/>
      </c>
      <c r="D520" s="380" t="n"/>
      <c r="E520" s="381">
        <f>IF(D520="","",IFERROR(INDEX('Entrada de Dados'!$B$6:$B$196,MATCH(D520,'Entrada de Dados'!$A$6:$A$196,0)),"CÓDIGO INVÁLIDO"))</f>
        <v/>
      </c>
      <c r="F520" s="373" t="n"/>
      <c r="G520" s="375" t="n"/>
      <c r="H520" s="375" t="n"/>
      <c r="I520" s="376">
        <f>IF(G520="",0,MAX(G520-H520,0))</f>
        <v/>
      </c>
      <c r="J520" s="380" t="n"/>
      <c r="K520" s="162">
        <f>IF(AND(A520="",D520="",G520="",H520=""),"",IF(AND(OR(A520&lt;&gt;"",D520&lt;&gt;""),G520=""),"⏳ PENDENTE (falta qtd. apresentada)",IF(AND(G520&lt;&gt;"",OR(A520="",D520="")),"❌ FALTA Nº RECEBIMENTO/ESCOLA",IF(B520="Nº INVÁLIDO","❌ Nº DE RECEBIMENTO INVÁLIDO",IF(E520="CÓDIGO INVÁLIDO","❌ CÓDIGO DE ESCOLA INVÁLIDO",IF(H520&gt;G520,"❌ REJEITADO MAIOR QUE APRESENTADO",IF(AND(A520&lt;&gt;"",SUMIF($A$60:$A$559,A520,$G$60:$G$559)&gt;INDEX($G$7:$G$56,MATCH(A520,$A$7:$A$56,0))+0.01),"❌ DISTRIBUÍDO MAIS QUE O ACEITO NESSE RECEBIMENTO","OK")))))))</f>
        <v/>
      </c>
      <c r="L520" s="389">
        <f>IF(A520="","",ROW()-59)</f>
        <v/>
      </c>
    </row>
    <row r="521" hidden="1" outlineLevel="1" s="163">
      <c r="A521" s="380" t="n"/>
      <c r="B521" s="372">
        <f>IF(A521="","",IFERROR(INDEX($C$7:$C$56,MATCH(A521,$A$7:$A$56,0)),"Nº INVÁLIDO"))</f>
        <v/>
      </c>
      <c r="C521" s="372">
        <f>IF(A521="","",IFERROR(INDEX($D$7:$D$56,MATCH(A521,$A$7:$A$56,0)),"Nº INVÁLIDO"))</f>
        <v/>
      </c>
      <c r="D521" s="380" t="n"/>
      <c r="E521" s="381">
        <f>IF(D521="","",IFERROR(INDEX('Entrada de Dados'!$B$6:$B$196,MATCH(D521,'Entrada de Dados'!$A$6:$A$196,0)),"CÓDIGO INVÁLIDO"))</f>
        <v/>
      </c>
      <c r="F521" s="373" t="n"/>
      <c r="G521" s="375" t="n"/>
      <c r="H521" s="375" t="n"/>
      <c r="I521" s="376">
        <f>IF(G521="",0,MAX(G521-H521,0))</f>
        <v/>
      </c>
      <c r="J521" s="380" t="n"/>
      <c r="K521" s="162">
        <f>IF(AND(A521="",D521="",G521="",H521=""),"",IF(AND(OR(A521&lt;&gt;"",D521&lt;&gt;""),G521=""),"⏳ PENDENTE (falta qtd. apresentada)",IF(AND(G521&lt;&gt;"",OR(A521="",D521="")),"❌ FALTA Nº RECEBIMENTO/ESCOLA",IF(B521="Nº INVÁLIDO","❌ Nº DE RECEBIMENTO INVÁLIDO",IF(E521="CÓDIGO INVÁLIDO","❌ CÓDIGO DE ESCOLA INVÁLIDO",IF(H521&gt;G521,"❌ REJEITADO MAIOR QUE APRESENTADO",IF(AND(A521&lt;&gt;"",SUMIF($A$60:$A$559,A521,$G$60:$G$559)&gt;INDEX($G$7:$G$56,MATCH(A521,$A$7:$A$56,0))+0.01),"❌ DISTRIBUÍDO MAIS QUE O ACEITO NESSE RECEBIMENTO","OK")))))))</f>
        <v/>
      </c>
      <c r="L521" s="389">
        <f>IF(A521="","",ROW()-59)</f>
        <v/>
      </c>
    </row>
    <row r="522" hidden="1" outlineLevel="1" s="163">
      <c r="A522" s="380" t="n"/>
      <c r="B522" s="372">
        <f>IF(A522="","",IFERROR(INDEX($C$7:$C$56,MATCH(A522,$A$7:$A$56,0)),"Nº INVÁLIDO"))</f>
        <v/>
      </c>
      <c r="C522" s="372">
        <f>IF(A522="","",IFERROR(INDEX($D$7:$D$56,MATCH(A522,$A$7:$A$56,0)),"Nº INVÁLIDO"))</f>
        <v/>
      </c>
      <c r="D522" s="380" t="n"/>
      <c r="E522" s="381">
        <f>IF(D522="","",IFERROR(INDEX('Entrada de Dados'!$B$6:$B$196,MATCH(D522,'Entrada de Dados'!$A$6:$A$196,0)),"CÓDIGO INVÁLIDO"))</f>
        <v/>
      </c>
      <c r="F522" s="373" t="n"/>
      <c r="G522" s="375" t="n"/>
      <c r="H522" s="375" t="n"/>
      <c r="I522" s="376">
        <f>IF(G522="",0,MAX(G522-H522,0))</f>
        <v/>
      </c>
      <c r="J522" s="380" t="n"/>
      <c r="K522" s="162">
        <f>IF(AND(A522="",D522="",G522="",H522=""),"",IF(AND(OR(A522&lt;&gt;"",D522&lt;&gt;""),G522=""),"⏳ PENDENTE (falta qtd. apresentada)",IF(AND(G522&lt;&gt;"",OR(A522="",D522="")),"❌ FALTA Nº RECEBIMENTO/ESCOLA",IF(B522="Nº INVÁLIDO","❌ Nº DE RECEBIMENTO INVÁLIDO",IF(E522="CÓDIGO INVÁLIDO","❌ CÓDIGO DE ESCOLA INVÁLIDO",IF(H522&gt;G522,"❌ REJEITADO MAIOR QUE APRESENTADO",IF(AND(A522&lt;&gt;"",SUMIF($A$60:$A$559,A522,$G$60:$G$559)&gt;INDEX($G$7:$G$56,MATCH(A522,$A$7:$A$56,0))+0.01),"❌ DISTRIBUÍDO MAIS QUE O ACEITO NESSE RECEBIMENTO","OK")))))))</f>
        <v/>
      </c>
      <c r="L522" s="389">
        <f>IF(A522="","",ROW()-59)</f>
        <v/>
      </c>
    </row>
    <row r="523" hidden="1" outlineLevel="1" s="163">
      <c r="A523" s="380" t="n"/>
      <c r="B523" s="372">
        <f>IF(A523="","",IFERROR(INDEX($C$7:$C$56,MATCH(A523,$A$7:$A$56,0)),"Nº INVÁLIDO"))</f>
        <v/>
      </c>
      <c r="C523" s="372">
        <f>IF(A523="","",IFERROR(INDEX($D$7:$D$56,MATCH(A523,$A$7:$A$56,0)),"Nº INVÁLIDO"))</f>
        <v/>
      </c>
      <c r="D523" s="380" t="n"/>
      <c r="E523" s="381">
        <f>IF(D523="","",IFERROR(INDEX('Entrada de Dados'!$B$6:$B$196,MATCH(D523,'Entrada de Dados'!$A$6:$A$196,0)),"CÓDIGO INVÁLIDO"))</f>
        <v/>
      </c>
      <c r="F523" s="373" t="n"/>
      <c r="G523" s="375" t="n"/>
      <c r="H523" s="375" t="n"/>
      <c r="I523" s="376">
        <f>IF(G523="",0,MAX(G523-H523,0))</f>
        <v/>
      </c>
      <c r="J523" s="380" t="n"/>
      <c r="K523" s="162">
        <f>IF(AND(A523="",D523="",G523="",H523=""),"",IF(AND(OR(A523&lt;&gt;"",D523&lt;&gt;""),G523=""),"⏳ PENDENTE (falta qtd. apresentada)",IF(AND(G523&lt;&gt;"",OR(A523="",D523="")),"❌ FALTA Nº RECEBIMENTO/ESCOLA",IF(B523="Nº INVÁLIDO","❌ Nº DE RECEBIMENTO INVÁLIDO",IF(E523="CÓDIGO INVÁLIDO","❌ CÓDIGO DE ESCOLA INVÁLIDO",IF(H523&gt;G523,"❌ REJEITADO MAIOR QUE APRESENTADO",IF(AND(A523&lt;&gt;"",SUMIF($A$60:$A$559,A523,$G$60:$G$559)&gt;INDEX($G$7:$G$56,MATCH(A523,$A$7:$A$56,0))+0.01),"❌ DISTRIBUÍDO MAIS QUE O ACEITO NESSE RECEBIMENTO","OK")))))))</f>
        <v/>
      </c>
      <c r="L523" s="389">
        <f>IF(A523="","",ROW()-59)</f>
        <v/>
      </c>
    </row>
    <row r="524" hidden="1" outlineLevel="1" s="163">
      <c r="A524" s="380" t="n"/>
      <c r="B524" s="372">
        <f>IF(A524="","",IFERROR(INDEX($C$7:$C$56,MATCH(A524,$A$7:$A$56,0)),"Nº INVÁLIDO"))</f>
        <v/>
      </c>
      <c r="C524" s="372">
        <f>IF(A524="","",IFERROR(INDEX($D$7:$D$56,MATCH(A524,$A$7:$A$56,0)),"Nº INVÁLIDO"))</f>
        <v/>
      </c>
      <c r="D524" s="380" t="n"/>
      <c r="E524" s="381">
        <f>IF(D524="","",IFERROR(INDEX('Entrada de Dados'!$B$6:$B$196,MATCH(D524,'Entrada de Dados'!$A$6:$A$196,0)),"CÓDIGO INVÁLIDO"))</f>
        <v/>
      </c>
      <c r="F524" s="373" t="n"/>
      <c r="G524" s="375" t="n"/>
      <c r="H524" s="375" t="n"/>
      <c r="I524" s="376">
        <f>IF(G524="",0,MAX(G524-H524,0))</f>
        <v/>
      </c>
      <c r="J524" s="380" t="n"/>
      <c r="K524" s="162">
        <f>IF(AND(A524="",D524="",G524="",H524=""),"",IF(AND(OR(A524&lt;&gt;"",D524&lt;&gt;""),G524=""),"⏳ PENDENTE (falta qtd. apresentada)",IF(AND(G524&lt;&gt;"",OR(A524="",D524="")),"❌ FALTA Nº RECEBIMENTO/ESCOLA",IF(B524="Nº INVÁLIDO","❌ Nº DE RECEBIMENTO INVÁLIDO",IF(E524="CÓDIGO INVÁLIDO","❌ CÓDIGO DE ESCOLA INVÁLIDO",IF(H524&gt;G524,"❌ REJEITADO MAIOR QUE APRESENTADO",IF(AND(A524&lt;&gt;"",SUMIF($A$60:$A$559,A524,$G$60:$G$559)&gt;INDEX($G$7:$G$56,MATCH(A524,$A$7:$A$56,0))+0.01),"❌ DISTRIBUÍDO MAIS QUE O ACEITO NESSE RECEBIMENTO","OK")))))))</f>
        <v/>
      </c>
      <c r="L524" s="389">
        <f>IF(A524="","",ROW()-59)</f>
        <v/>
      </c>
    </row>
    <row r="525" hidden="1" outlineLevel="1" s="163">
      <c r="A525" s="380" t="n"/>
      <c r="B525" s="372">
        <f>IF(A525="","",IFERROR(INDEX($C$7:$C$56,MATCH(A525,$A$7:$A$56,0)),"Nº INVÁLIDO"))</f>
        <v/>
      </c>
      <c r="C525" s="372">
        <f>IF(A525="","",IFERROR(INDEX($D$7:$D$56,MATCH(A525,$A$7:$A$56,0)),"Nº INVÁLIDO"))</f>
        <v/>
      </c>
      <c r="D525" s="380" t="n"/>
      <c r="E525" s="381">
        <f>IF(D525="","",IFERROR(INDEX('Entrada de Dados'!$B$6:$B$196,MATCH(D525,'Entrada de Dados'!$A$6:$A$196,0)),"CÓDIGO INVÁLIDO"))</f>
        <v/>
      </c>
      <c r="F525" s="373" t="n"/>
      <c r="G525" s="375" t="n"/>
      <c r="H525" s="375" t="n"/>
      <c r="I525" s="376">
        <f>IF(G525="",0,MAX(G525-H525,0))</f>
        <v/>
      </c>
      <c r="J525" s="380" t="n"/>
      <c r="K525" s="162">
        <f>IF(AND(A525="",D525="",G525="",H525=""),"",IF(AND(OR(A525&lt;&gt;"",D525&lt;&gt;""),G525=""),"⏳ PENDENTE (falta qtd. apresentada)",IF(AND(G525&lt;&gt;"",OR(A525="",D525="")),"❌ FALTA Nº RECEBIMENTO/ESCOLA",IF(B525="Nº INVÁLIDO","❌ Nº DE RECEBIMENTO INVÁLIDO",IF(E525="CÓDIGO INVÁLIDO","❌ CÓDIGO DE ESCOLA INVÁLIDO",IF(H525&gt;G525,"❌ REJEITADO MAIOR QUE APRESENTADO",IF(AND(A525&lt;&gt;"",SUMIF($A$60:$A$559,A525,$G$60:$G$559)&gt;INDEX($G$7:$G$56,MATCH(A525,$A$7:$A$56,0))+0.01),"❌ DISTRIBUÍDO MAIS QUE O ACEITO NESSE RECEBIMENTO","OK")))))))</f>
        <v/>
      </c>
      <c r="L525" s="389">
        <f>IF(A525="","",ROW()-59)</f>
        <v/>
      </c>
    </row>
    <row r="526" hidden="1" outlineLevel="1" s="163">
      <c r="A526" s="380" t="n"/>
      <c r="B526" s="372">
        <f>IF(A526="","",IFERROR(INDEX($C$7:$C$56,MATCH(A526,$A$7:$A$56,0)),"Nº INVÁLIDO"))</f>
        <v/>
      </c>
      <c r="C526" s="372">
        <f>IF(A526="","",IFERROR(INDEX($D$7:$D$56,MATCH(A526,$A$7:$A$56,0)),"Nº INVÁLIDO"))</f>
        <v/>
      </c>
      <c r="D526" s="380" t="n"/>
      <c r="E526" s="381">
        <f>IF(D526="","",IFERROR(INDEX('Entrada de Dados'!$B$6:$B$196,MATCH(D526,'Entrada de Dados'!$A$6:$A$196,0)),"CÓDIGO INVÁLIDO"))</f>
        <v/>
      </c>
      <c r="F526" s="373" t="n"/>
      <c r="G526" s="375" t="n"/>
      <c r="H526" s="375" t="n"/>
      <c r="I526" s="376">
        <f>IF(G526="",0,MAX(G526-H526,0))</f>
        <v/>
      </c>
      <c r="J526" s="380" t="n"/>
      <c r="K526" s="162">
        <f>IF(AND(A526="",D526="",G526="",H526=""),"",IF(AND(OR(A526&lt;&gt;"",D526&lt;&gt;""),G526=""),"⏳ PENDENTE (falta qtd. apresentada)",IF(AND(G526&lt;&gt;"",OR(A526="",D526="")),"❌ FALTA Nº RECEBIMENTO/ESCOLA",IF(B526="Nº INVÁLIDO","❌ Nº DE RECEBIMENTO INVÁLIDO",IF(E526="CÓDIGO INVÁLIDO","❌ CÓDIGO DE ESCOLA INVÁLIDO",IF(H526&gt;G526,"❌ REJEITADO MAIOR QUE APRESENTADO",IF(AND(A526&lt;&gt;"",SUMIF($A$60:$A$559,A526,$G$60:$G$559)&gt;INDEX($G$7:$G$56,MATCH(A526,$A$7:$A$56,0))+0.01),"❌ DISTRIBUÍDO MAIS QUE O ACEITO NESSE RECEBIMENTO","OK")))))))</f>
        <v/>
      </c>
      <c r="L526" s="389">
        <f>IF(A526="","",ROW()-59)</f>
        <v/>
      </c>
    </row>
    <row r="527" hidden="1" outlineLevel="1" s="163">
      <c r="A527" s="380" t="n"/>
      <c r="B527" s="372">
        <f>IF(A527="","",IFERROR(INDEX($C$7:$C$56,MATCH(A527,$A$7:$A$56,0)),"Nº INVÁLIDO"))</f>
        <v/>
      </c>
      <c r="C527" s="372">
        <f>IF(A527="","",IFERROR(INDEX($D$7:$D$56,MATCH(A527,$A$7:$A$56,0)),"Nº INVÁLIDO"))</f>
        <v/>
      </c>
      <c r="D527" s="380" t="n"/>
      <c r="E527" s="381">
        <f>IF(D527="","",IFERROR(INDEX('Entrada de Dados'!$B$6:$B$196,MATCH(D527,'Entrada de Dados'!$A$6:$A$196,0)),"CÓDIGO INVÁLIDO"))</f>
        <v/>
      </c>
      <c r="F527" s="373" t="n"/>
      <c r="G527" s="375" t="n"/>
      <c r="H527" s="375" t="n"/>
      <c r="I527" s="376">
        <f>IF(G527="",0,MAX(G527-H527,0))</f>
        <v/>
      </c>
      <c r="J527" s="380" t="n"/>
      <c r="K527" s="162">
        <f>IF(AND(A527="",D527="",G527="",H527=""),"",IF(AND(OR(A527&lt;&gt;"",D527&lt;&gt;""),G527=""),"⏳ PENDENTE (falta qtd. apresentada)",IF(AND(G527&lt;&gt;"",OR(A527="",D527="")),"❌ FALTA Nº RECEBIMENTO/ESCOLA",IF(B527="Nº INVÁLIDO","❌ Nº DE RECEBIMENTO INVÁLIDO",IF(E527="CÓDIGO INVÁLIDO","❌ CÓDIGO DE ESCOLA INVÁLIDO",IF(H527&gt;G527,"❌ REJEITADO MAIOR QUE APRESENTADO",IF(AND(A527&lt;&gt;"",SUMIF($A$60:$A$559,A527,$G$60:$G$559)&gt;INDEX($G$7:$G$56,MATCH(A527,$A$7:$A$56,0))+0.01),"❌ DISTRIBUÍDO MAIS QUE O ACEITO NESSE RECEBIMENTO","OK")))))))</f>
        <v/>
      </c>
      <c r="L527" s="389">
        <f>IF(A527="","",ROW()-59)</f>
        <v/>
      </c>
    </row>
    <row r="528" hidden="1" outlineLevel="1" s="163">
      <c r="A528" s="380" t="n"/>
      <c r="B528" s="372">
        <f>IF(A528="","",IFERROR(INDEX($C$7:$C$56,MATCH(A528,$A$7:$A$56,0)),"Nº INVÁLIDO"))</f>
        <v/>
      </c>
      <c r="C528" s="372">
        <f>IF(A528="","",IFERROR(INDEX($D$7:$D$56,MATCH(A528,$A$7:$A$56,0)),"Nº INVÁLIDO"))</f>
        <v/>
      </c>
      <c r="D528" s="380" t="n"/>
      <c r="E528" s="381">
        <f>IF(D528="","",IFERROR(INDEX('Entrada de Dados'!$B$6:$B$196,MATCH(D528,'Entrada de Dados'!$A$6:$A$196,0)),"CÓDIGO INVÁLIDO"))</f>
        <v/>
      </c>
      <c r="F528" s="373" t="n"/>
      <c r="G528" s="375" t="n"/>
      <c r="H528" s="375" t="n"/>
      <c r="I528" s="376">
        <f>IF(G528="",0,MAX(G528-H528,0))</f>
        <v/>
      </c>
      <c r="J528" s="380" t="n"/>
      <c r="K528" s="162">
        <f>IF(AND(A528="",D528="",G528="",H528=""),"",IF(AND(OR(A528&lt;&gt;"",D528&lt;&gt;""),G528=""),"⏳ PENDENTE (falta qtd. apresentada)",IF(AND(G528&lt;&gt;"",OR(A528="",D528="")),"❌ FALTA Nº RECEBIMENTO/ESCOLA",IF(B528="Nº INVÁLIDO","❌ Nº DE RECEBIMENTO INVÁLIDO",IF(E528="CÓDIGO INVÁLIDO","❌ CÓDIGO DE ESCOLA INVÁLIDO",IF(H528&gt;G528,"❌ REJEITADO MAIOR QUE APRESENTADO",IF(AND(A528&lt;&gt;"",SUMIF($A$60:$A$559,A528,$G$60:$G$559)&gt;INDEX($G$7:$G$56,MATCH(A528,$A$7:$A$56,0))+0.01),"❌ DISTRIBUÍDO MAIS QUE O ACEITO NESSE RECEBIMENTO","OK")))))))</f>
        <v/>
      </c>
      <c r="L528" s="389">
        <f>IF(A528="","",ROW()-59)</f>
        <v/>
      </c>
    </row>
    <row r="529" hidden="1" outlineLevel="1" s="163">
      <c r="A529" s="380" t="n"/>
      <c r="B529" s="372">
        <f>IF(A529="","",IFERROR(INDEX($C$7:$C$56,MATCH(A529,$A$7:$A$56,0)),"Nº INVÁLIDO"))</f>
        <v/>
      </c>
      <c r="C529" s="372">
        <f>IF(A529="","",IFERROR(INDEX($D$7:$D$56,MATCH(A529,$A$7:$A$56,0)),"Nº INVÁLIDO"))</f>
        <v/>
      </c>
      <c r="D529" s="380" t="n"/>
      <c r="E529" s="381">
        <f>IF(D529="","",IFERROR(INDEX('Entrada de Dados'!$B$6:$B$196,MATCH(D529,'Entrada de Dados'!$A$6:$A$196,0)),"CÓDIGO INVÁLIDO"))</f>
        <v/>
      </c>
      <c r="F529" s="373" t="n"/>
      <c r="G529" s="375" t="n"/>
      <c r="H529" s="375" t="n"/>
      <c r="I529" s="376">
        <f>IF(G529="",0,MAX(G529-H529,0))</f>
        <v/>
      </c>
      <c r="J529" s="380" t="n"/>
      <c r="K529" s="162">
        <f>IF(AND(A529="",D529="",G529="",H529=""),"",IF(AND(OR(A529&lt;&gt;"",D529&lt;&gt;""),G529=""),"⏳ PENDENTE (falta qtd. apresentada)",IF(AND(G529&lt;&gt;"",OR(A529="",D529="")),"❌ FALTA Nº RECEBIMENTO/ESCOLA",IF(B529="Nº INVÁLIDO","❌ Nº DE RECEBIMENTO INVÁLIDO",IF(E529="CÓDIGO INVÁLIDO","❌ CÓDIGO DE ESCOLA INVÁLIDO",IF(H529&gt;G529,"❌ REJEITADO MAIOR QUE APRESENTADO",IF(AND(A529&lt;&gt;"",SUMIF($A$60:$A$559,A529,$G$60:$G$559)&gt;INDEX($G$7:$G$56,MATCH(A529,$A$7:$A$56,0))+0.01),"❌ DISTRIBUÍDO MAIS QUE O ACEITO NESSE RECEBIMENTO","OK")))))))</f>
        <v/>
      </c>
      <c r="L529" s="389">
        <f>IF(A529="","",ROW()-59)</f>
        <v/>
      </c>
    </row>
    <row r="530" hidden="1" outlineLevel="1" s="163">
      <c r="A530" s="380" t="n"/>
      <c r="B530" s="372">
        <f>IF(A530="","",IFERROR(INDEX($C$7:$C$56,MATCH(A530,$A$7:$A$56,0)),"Nº INVÁLIDO"))</f>
        <v/>
      </c>
      <c r="C530" s="372">
        <f>IF(A530="","",IFERROR(INDEX($D$7:$D$56,MATCH(A530,$A$7:$A$56,0)),"Nº INVÁLIDO"))</f>
        <v/>
      </c>
      <c r="D530" s="380" t="n"/>
      <c r="E530" s="381">
        <f>IF(D530="","",IFERROR(INDEX('Entrada de Dados'!$B$6:$B$196,MATCH(D530,'Entrada de Dados'!$A$6:$A$196,0)),"CÓDIGO INVÁLIDO"))</f>
        <v/>
      </c>
      <c r="F530" s="373" t="n"/>
      <c r="G530" s="375" t="n"/>
      <c r="H530" s="375" t="n"/>
      <c r="I530" s="376">
        <f>IF(G530="",0,MAX(G530-H530,0))</f>
        <v/>
      </c>
      <c r="J530" s="380" t="n"/>
      <c r="K530" s="162">
        <f>IF(AND(A530="",D530="",G530="",H530=""),"",IF(AND(OR(A530&lt;&gt;"",D530&lt;&gt;""),G530=""),"⏳ PENDENTE (falta qtd. apresentada)",IF(AND(G530&lt;&gt;"",OR(A530="",D530="")),"❌ FALTA Nº RECEBIMENTO/ESCOLA",IF(B530="Nº INVÁLIDO","❌ Nº DE RECEBIMENTO INVÁLIDO",IF(E530="CÓDIGO INVÁLIDO","❌ CÓDIGO DE ESCOLA INVÁLIDO",IF(H530&gt;G530,"❌ REJEITADO MAIOR QUE APRESENTADO",IF(AND(A530&lt;&gt;"",SUMIF($A$60:$A$559,A530,$G$60:$G$559)&gt;INDEX($G$7:$G$56,MATCH(A530,$A$7:$A$56,0))+0.01),"❌ DISTRIBUÍDO MAIS QUE O ACEITO NESSE RECEBIMENTO","OK")))))))</f>
        <v/>
      </c>
      <c r="L530" s="389">
        <f>IF(A530="","",ROW()-59)</f>
        <v/>
      </c>
    </row>
    <row r="531" hidden="1" outlineLevel="1" s="163">
      <c r="A531" s="380" t="n"/>
      <c r="B531" s="372">
        <f>IF(A531="","",IFERROR(INDEX($C$7:$C$56,MATCH(A531,$A$7:$A$56,0)),"Nº INVÁLIDO"))</f>
        <v/>
      </c>
      <c r="C531" s="372">
        <f>IF(A531="","",IFERROR(INDEX($D$7:$D$56,MATCH(A531,$A$7:$A$56,0)),"Nº INVÁLIDO"))</f>
        <v/>
      </c>
      <c r="D531" s="380" t="n"/>
      <c r="E531" s="381">
        <f>IF(D531="","",IFERROR(INDEX('Entrada de Dados'!$B$6:$B$196,MATCH(D531,'Entrada de Dados'!$A$6:$A$196,0)),"CÓDIGO INVÁLIDO"))</f>
        <v/>
      </c>
      <c r="F531" s="373" t="n"/>
      <c r="G531" s="375" t="n"/>
      <c r="H531" s="375" t="n"/>
      <c r="I531" s="376">
        <f>IF(G531="",0,MAX(G531-H531,0))</f>
        <v/>
      </c>
      <c r="J531" s="380" t="n"/>
      <c r="K531" s="162">
        <f>IF(AND(A531="",D531="",G531="",H531=""),"",IF(AND(OR(A531&lt;&gt;"",D531&lt;&gt;""),G531=""),"⏳ PENDENTE (falta qtd. apresentada)",IF(AND(G531&lt;&gt;"",OR(A531="",D531="")),"❌ FALTA Nº RECEBIMENTO/ESCOLA",IF(B531="Nº INVÁLIDO","❌ Nº DE RECEBIMENTO INVÁLIDO",IF(E531="CÓDIGO INVÁLIDO","❌ CÓDIGO DE ESCOLA INVÁLIDO",IF(H531&gt;G531,"❌ REJEITADO MAIOR QUE APRESENTADO",IF(AND(A531&lt;&gt;"",SUMIF($A$60:$A$559,A531,$G$60:$G$559)&gt;INDEX($G$7:$G$56,MATCH(A531,$A$7:$A$56,0))+0.01),"❌ DISTRIBUÍDO MAIS QUE O ACEITO NESSE RECEBIMENTO","OK")))))))</f>
        <v/>
      </c>
      <c r="L531" s="389">
        <f>IF(A531="","",ROW()-59)</f>
        <v/>
      </c>
    </row>
    <row r="532" hidden="1" outlineLevel="1" s="163">
      <c r="A532" s="380" t="n"/>
      <c r="B532" s="372">
        <f>IF(A532="","",IFERROR(INDEX($C$7:$C$56,MATCH(A532,$A$7:$A$56,0)),"Nº INVÁLIDO"))</f>
        <v/>
      </c>
      <c r="C532" s="372">
        <f>IF(A532="","",IFERROR(INDEX($D$7:$D$56,MATCH(A532,$A$7:$A$56,0)),"Nº INVÁLIDO"))</f>
        <v/>
      </c>
      <c r="D532" s="380" t="n"/>
      <c r="E532" s="381">
        <f>IF(D532="","",IFERROR(INDEX('Entrada de Dados'!$B$6:$B$196,MATCH(D532,'Entrada de Dados'!$A$6:$A$196,0)),"CÓDIGO INVÁLIDO"))</f>
        <v/>
      </c>
      <c r="F532" s="373" t="n"/>
      <c r="G532" s="375" t="n"/>
      <c r="H532" s="375" t="n"/>
      <c r="I532" s="376">
        <f>IF(G532="",0,MAX(G532-H532,0))</f>
        <v/>
      </c>
      <c r="J532" s="380" t="n"/>
      <c r="K532" s="162">
        <f>IF(AND(A532="",D532="",G532="",H532=""),"",IF(AND(OR(A532&lt;&gt;"",D532&lt;&gt;""),G532=""),"⏳ PENDENTE (falta qtd. apresentada)",IF(AND(G532&lt;&gt;"",OR(A532="",D532="")),"❌ FALTA Nº RECEBIMENTO/ESCOLA",IF(B532="Nº INVÁLIDO","❌ Nº DE RECEBIMENTO INVÁLIDO",IF(E532="CÓDIGO INVÁLIDO","❌ CÓDIGO DE ESCOLA INVÁLIDO",IF(H532&gt;G532,"❌ REJEITADO MAIOR QUE APRESENTADO",IF(AND(A532&lt;&gt;"",SUMIF($A$60:$A$559,A532,$G$60:$G$559)&gt;INDEX($G$7:$G$56,MATCH(A532,$A$7:$A$56,0))+0.01),"❌ DISTRIBUÍDO MAIS QUE O ACEITO NESSE RECEBIMENTO","OK")))))))</f>
        <v/>
      </c>
      <c r="L532" s="389">
        <f>IF(A532="","",ROW()-59)</f>
        <v/>
      </c>
    </row>
    <row r="533" hidden="1" outlineLevel="1" s="163">
      <c r="A533" s="380" t="n"/>
      <c r="B533" s="372">
        <f>IF(A533="","",IFERROR(INDEX($C$7:$C$56,MATCH(A533,$A$7:$A$56,0)),"Nº INVÁLIDO"))</f>
        <v/>
      </c>
      <c r="C533" s="372">
        <f>IF(A533="","",IFERROR(INDEX($D$7:$D$56,MATCH(A533,$A$7:$A$56,0)),"Nº INVÁLIDO"))</f>
        <v/>
      </c>
      <c r="D533" s="380" t="n"/>
      <c r="E533" s="381">
        <f>IF(D533="","",IFERROR(INDEX('Entrada de Dados'!$B$6:$B$196,MATCH(D533,'Entrada de Dados'!$A$6:$A$196,0)),"CÓDIGO INVÁLIDO"))</f>
        <v/>
      </c>
      <c r="F533" s="373" t="n"/>
      <c r="G533" s="375" t="n"/>
      <c r="H533" s="375" t="n"/>
      <c r="I533" s="376">
        <f>IF(G533="",0,MAX(G533-H533,0))</f>
        <v/>
      </c>
      <c r="J533" s="380" t="n"/>
      <c r="K533" s="162">
        <f>IF(AND(A533="",D533="",G533="",H533=""),"",IF(AND(OR(A533&lt;&gt;"",D533&lt;&gt;""),G533=""),"⏳ PENDENTE (falta qtd. apresentada)",IF(AND(G533&lt;&gt;"",OR(A533="",D533="")),"❌ FALTA Nº RECEBIMENTO/ESCOLA",IF(B533="Nº INVÁLIDO","❌ Nº DE RECEBIMENTO INVÁLIDO",IF(E533="CÓDIGO INVÁLIDO","❌ CÓDIGO DE ESCOLA INVÁLIDO",IF(H533&gt;G533,"❌ REJEITADO MAIOR QUE APRESENTADO",IF(AND(A533&lt;&gt;"",SUMIF($A$60:$A$559,A533,$G$60:$G$559)&gt;INDEX($G$7:$G$56,MATCH(A533,$A$7:$A$56,0))+0.01),"❌ DISTRIBUÍDO MAIS QUE O ACEITO NESSE RECEBIMENTO","OK")))))))</f>
        <v/>
      </c>
      <c r="L533" s="389">
        <f>IF(A533="","",ROW()-59)</f>
        <v/>
      </c>
    </row>
    <row r="534" hidden="1" outlineLevel="1" s="163">
      <c r="A534" s="380" t="n"/>
      <c r="B534" s="372">
        <f>IF(A534="","",IFERROR(INDEX($C$7:$C$56,MATCH(A534,$A$7:$A$56,0)),"Nº INVÁLIDO"))</f>
        <v/>
      </c>
      <c r="C534" s="372">
        <f>IF(A534="","",IFERROR(INDEX($D$7:$D$56,MATCH(A534,$A$7:$A$56,0)),"Nº INVÁLIDO"))</f>
        <v/>
      </c>
      <c r="D534" s="380" t="n"/>
      <c r="E534" s="381">
        <f>IF(D534="","",IFERROR(INDEX('Entrada de Dados'!$B$6:$B$196,MATCH(D534,'Entrada de Dados'!$A$6:$A$196,0)),"CÓDIGO INVÁLIDO"))</f>
        <v/>
      </c>
      <c r="F534" s="373" t="n"/>
      <c r="G534" s="375" t="n"/>
      <c r="H534" s="375" t="n"/>
      <c r="I534" s="376">
        <f>IF(G534="",0,MAX(G534-H534,0))</f>
        <v/>
      </c>
      <c r="J534" s="380" t="n"/>
      <c r="K534" s="162">
        <f>IF(AND(A534="",D534="",G534="",H534=""),"",IF(AND(OR(A534&lt;&gt;"",D534&lt;&gt;""),G534=""),"⏳ PENDENTE (falta qtd. apresentada)",IF(AND(G534&lt;&gt;"",OR(A534="",D534="")),"❌ FALTA Nº RECEBIMENTO/ESCOLA",IF(B534="Nº INVÁLIDO","❌ Nº DE RECEBIMENTO INVÁLIDO",IF(E534="CÓDIGO INVÁLIDO","❌ CÓDIGO DE ESCOLA INVÁLIDO",IF(H534&gt;G534,"❌ REJEITADO MAIOR QUE APRESENTADO",IF(AND(A534&lt;&gt;"",SUMIF($A$60:$A$559,A534,$G$60:$G$559)&gt;INDEX($G$7:$G$56,MATCH(A534,$A$7:$A$56,0))+0.01),"❌ DISTRIBUÍDO MAIS QUE O ACEITO NESSE RECEBIMENTO","OK")))))))</f>
        <v/>
      </c>
      <c r="L534" s="389">
        <f>IF(A534="","",ROW()-59)</f>
        <v/>
      </c>
    </row>
    <row r="535" hidden="1" outlineLevel="1" s="163">
      <c r="A535" s="380" t="n"/>
      <c r="B535" s="372">
        <f>IF(A535="","",IFERROR(INDEX($C$7:$C$56,MATCH(A535,$A$7:$A$56,0)),"Nº INVÁLIDO"))</f>
        <v/>
      </c>
      <c r="C535" s="372">
        <f>IF(A535="","",IFERROR(INDEX($D$7:$D$56,MATCH(A535,$A$7:$A$56,0)),"Nº INVÁLIDO"))</f>
        <v/>
      </c>
      <c r="D535" s="380" t="n"/>
      <c r="E535" s="381">
        <f>IF(D535="","",IFERROR(INDEX('Entrada de Dados'!$B$6:$B$196,MATCH(D535,'Entrada de Dados'!$A$6:$A$196,0)),"CÓDIGO INVÁLIDO"))</f>
        <v/>
      </c>
      <c r="F535" s="373" t="n"/>
      <c r="G535" s="375" t="n"/>
      <c r="H535" s="375" t="n"/>
      <c r="I535" s="376">
        <f>IF(G535="",0,MAX(G535-H535,0))</f>
        <v/>
      </c>
      <c r="J535" s="380" t="n"/>
      <c r="K535" s="162">
        <f>IF(AND(A535="",D535="",G535="",H535=""),"",IF(AND(OR(A535&lt;&gt;"",D535&lt;&gt;""),G535=""),"⏳ PENDENTE (falta qtd. apresentada)",IF(AND(G535&lt;&gt;"",OR(A535="",D535="")),"❌ FALTA Nº RECEBIMENTO/ESCOLA",IF(B535="Nº INVÁLIDO","❌ Nº DE RECEBIMENTO INVÁLIDO",IF(E535="CÓDIGO INVÁLIDO","❌ CÓDIGO DE ESCOLA INVÁLIDO",IF(H535&gt;G535,"❌ REJEITADO MAIOR QUE APRESENTADO",IF(AND(A535&lt;&gt;"",SUMIF($A$60:$A$559,A535,$G$60:$G$559)&gt;INDEX($G$7:$G$56,MATCH(A535,$A$7:$A$56,0))+0.01),"❌ DISTRIBUÍDO MAIS QUE O ACEITO NESSE RECEBIMENTO","OK")))))))</f>
        <v/>
      </c>
      <c r="L535" s="389">
        <f>IF(A535="","",ROW()-59)</f>
        <v/>
      </c>
    </row>
    <row r="536" hidden="1" outlineLevel="1" s="163">
      <c r="A536" s="380" t="n"/>
      <c r="B536" s="372">
        <f>IF(A536="","",IFERROR(INDEX($C$7:$C$56,MATCH(A536,$A$7:$A$56,0)),"Nº INVÁLIDO"))</f>
        <v/>
      </c>
      <c r="C536" s="372">
        <f>IF(A536="","",IFERROR(INDEX($D$7:$D$56,MATCH(A536,$A$7:$A$56,0)),"Nº INVÁLIDO"))</f>
        <v/>
      </c>
      <c r="D536" s="380" t="n"/>
      <c r="E536" s="381">
        <f>IF(D536="","",IFERROR(INDEX('Entrada de Dados'!$B$6:$B$196,MATCH(D536,'Entrada de Dados'!$A$6:$A$196,0)),"CÓDIGO INVÁLIDO"))</f>
        <v/>
      </c>
      <c r="F536" s="373" t="n"/>
      <c r="G536" s="375" t="n"/>
      <c r="H536" s="375" t="n"/>
      <c r="I536" s="376">
        <f>IF(G536="",0,MAX(G536-H536,0))</f>
        <v/>
      </c>
      <c r="J536" s="380" t="n"/>
      <c r="K536" s="162">
        <f>IF(AND(A536="",D536="",G536="",H536=""),"",IF(AND(OR(A536&lt;&gt;"",D536&lt;&gt;""),G536=""),"⏳ PENDENTE (falta qtd. apresentada)",IF(AND(G536&lt;&gt;"",OR(A536="",D536="")),"❌ FALTA Nº RECEBIMENTO/ESCOLA",IF(B536="Nº INVÁLIDO","❌ Nº DE RECEBIMENTO INVÁLIDO",IF(E536="CÓDIGO INVÁLIDO","❌ CÓDIGO DE ESCOLA INVÁLIDO",IF(H536&gt;G536,"❌ REJEITADO MAIOR QUE APRESENTADO",IF(AND(A536&lt;&gt;"",SUMIF($A$60:$A$559,A536,$G$60:$G$559)&gt;INDEX($G$7:$G$56,MATCH(A536,$A$7:$A$56,0))+0.01),"❌ DISTRIBUÍDO MAIS QUE O ACEITO NESSE RECEBIMENTO","OK")))))))</f>
        <v/>
      </c>
      <c r="L536" s="389">
        <f>IF(A536="","",ROW()-59)</f>
        <v/>
      </c>
    </row>
    <row r="537" hidden="1" outlineLevel="1" s="163">
      <c r="A537" s="380" t="n"/>
      <c r="B537" s="372">
        <f>IF(A537="","",IFERROR(INDEX($C$7:$C$56,MATCH(A537,$A$7:$A$56,0)),"Nº INVÁLIDO"))</f>
        <v/>
      </c>
      <c r="C537" s="372">
        <f>IF(A537="","",IFERROR(INDEX($D$7:$D$56,MATCH(A537,$A$7:$A$56,0)),"Nº INVÁLIDO"))</f>
        <v/>
      </c>
      <c r="D537" s="380" t="n"/>
      <c r="E537" s="381">
        <f>IF(D537="","",IFERROR(INDEX('Entrada de Dados'!$B$6:$B$196,MATCH(D537,'Entrada de Dados'!$A$6:$A$196,0)),"CÓDIGO INVÁLIDO"))</f>
        <v/>
      </c>
      <c r="F537" s="373" t="n"/>
      <c r="G537" s="375" t="n"/>
      <c r="H537" s="375" t="n"/>
      <c r="I537" s="376">
        <f>IF(G537="",0,MAX(G537-H537,0))</f>
        <v/>
      </c>
      <c r="J537" s="380" t="n"/>
      <c r="K537" s="162">
        <f>IF(AND(A537="",D537="",G537="",H537=""),"",IF(AND(OR(A537&lt;&gt;"",D537&lt;&gt;""),G537=""),"⏳ PENDENTE (falta qtd. apresentada)",IF(AND(G537&lt;&gt;"",OR(A537="",D537="")),"❌ FALTA Nº RECEBIMENTO/ESCOLA",IF(B537="Nº INVÁLIDO","❌ Nº DE RECEBIMENTO INVÁLIDO",IF(E537="CÓDIGO INVÁLIDO","❌ CÓDIGO DE ESCOLA INVÁLIDO",IF(H537&gt;G537,"❌ REJEITADO MAIOR QUE APRESENTADO",IF(AND(A537&lt;&gt;"",SUMIF($A$60:$A$559,A537,$G$60:$G$559)&gt;INDEX($G$7:$G$56,MATCH(A537,$A$7:$A$56,0))+0.01),"❌ DISTRIBUÍDO MAIS QUE O ACEITO NESSE RECEBIMENTO","OK")))))))</f>
        <v/>
      </c>
      <c r="L537" s="389">
        <f>IF(A537="","",ROW()-59)</f>
        <v/>
      </c>
    </row>
    <row r="538" hidden="1" outlineLevel="1" s="163">
      <c r="A538" s="380" t="n"/>
      <c r="B538" s="372">
        <f>IF(A538="","",IFERROR(INDEX($C$7:$C$56,MATCH(A538,$A$7:$A$56,0)),"Nº INVÁLIDO"))</f>
        <v/>
      </c>
      <c r="C538" s="372">
        <f>IF(A538="","",IFERROR(INDEX($D$7:$D$56,MATCH(A538,$A$7:$A$56,0)),"Nº INVÁLIDO"))</f>
        <v/>
      </c>
      <c r="D538" s="380" t="n"/>
      <c r="E538" s="381">
        <f>IF(D538="","",IFERROR(INDEX('Entrada de Dados'!$B$6:$B$196,MATCH(D538,'Entrada de Dados'!$A$6:$A$196,0)),"CÓDIGO INVÁLIDO"))</f>
        <v/>
      </c>
      <c r="F538" s="373" t="n"/>
      <c r="G538" s="375" t="n"/>
      <c r="H538" s="375" t="n"/>
      <c r="I538" s="376">
        <f>IF(G538="",0,MAX(G538-H538,0))</f>
        <v/>
      </c>
      <c r="J538" s="380" t="n"/>
      <c r="K538" s="162">
        <f>IF(AND(A538="",D538="",G538="",H538=""),"",IF(AND(OR(A538&lt;&gt;"",D538&lt;&gt;""),G538=""),"⏳ PENDENTE (falta qtd. apresentada)",IF(AND(G538&lt;&gt;"",OR(A538="",D538="")),"❌ FALTA Nº RECEBIMENTO/ESCOLA",IF(B538="Nº INVÁLIDO","❌ Nº DE RECEBIMENTO INVÁLIDO",IF(E538="CÓDIGO INVÁLIDO","❌ CÓDIGO DE ESCOLA INVÁLIDO",IF(H538&gt;G538,"❌ REJEITADO MAIOR QUE APRESENTADO",IF(AND(A538&lt;&gt;"",SUMIF($A$60:$A$559,A538,$G$60:$G$559)&gt;INDEX($G$7:$G$56,MATCH(A538,$A$7:$A$56,0))+0.01),"❌ DISTRIBUÍDO MAIS QUE O ACEITO NESSE RECEBIMENTO","OK")))))))</f>
        <v/>
      </c>
      <c r="L538" s="389">
        <f>IF(A538="","",ROW()-59)</f>
        <v/>
      </c>
    </row>
    <row r="539" hidden="1" outlineLevel="1" s="163">
      <c r="A539" s="380" t="n"/>
      <c r="B539" s="372">
        <f>IF(A539="","",IFERROR(INDEX($C$7:$C$56,MATCH(A539,$A$7:$A$56,0)),"Nº INVÁLIDO"))</f>
        <v/>
      </c>
      <c r="C539" s="372">
        <f>IF(A539="","",IFERROR(INDEX($D$7:$D$56,MATCH(A539,$A$7:$A$56,0)),"Nº INVÁLIDO"))</f>
        <v/>
      </c>
      <c r="D539" s="380" t="n"/>
      <c r="E539" s="381">
        <f>IF(D539="","",IFERROR(INDEX('Entrada de Dados'!$B$6:$B$196,MATCH(D539,'Entrada de Dados'!$A$6:$A$196,0)),"CÓDIGO INVÁLIDO"))</f>
        <v/>
      </c>
      <c r="F539" s="373" t="n"/>
      <c r="G539" s="375" t="n"/>
      <c r="H539" s="375" t="n"/>
      <c r="I539" s="376">
        <f>IF(G539="",0,MAX(G539-H539,0))</f>
        <v/>
      </c>
      <c r="J539" s="380" t="n"/>
      <c r="K539" s="162">
        <f>IF(AND(A539="",D539="",G539="",H539=""),"",IF(AND(OR(A539&lt;&gt;"",D539&lt;&gt;""),G539=""),"⏳ PENDENTE (falta qtd. apresentada)",IF(AND(G539&lt;&gt;"",OR(A539="",D539="")),"❌ FALTA Nº RECEBIMENTO/ESCOLA",IF(B539="Nº INVÁLIDO","❌ Nº DE RECEBIMENTO INVÁLIDO",IF(E539="CÓDIGO INVÁLIDO","❌ CÓDIGO DE ESCOLA INVÁLIDO",IF(H539&gt;G539,"❌ REJEITADO MAIOR QUE APRESENTADO",IF(AND(A539&lt;&gt;"",SUMIF($A$60:$A$559,A539,$G$60:$G$559)&gt;INDEX($G$7:$G$56,MATCH(A539,$A$7:$A$56,0))+0.01),"❌ DISTRIBUÍDO MAIS QUE O ACEITO NESSE RECEBIMENTO","OK")))))))</f>
        <v/>
      </c>
      <c r="L539" s="389">
        <f>IF(A539="","",ROW()-59)</f>
        <v/>
      </c>
    </row>
    <row r="540" hidden="1" outlineLevel="1" s="163">
      <c r="A540" s="380" t="n"/>
      <c r="B540" s="372">
        <f>IF(A540="","",IFERROR(INDEX($C$7:$C$56,MATCH(A540,$A$7:$A$56,0)),"Nº INVÁLIDO"))</f>
        <v/>
      </c>
      <c r="C540" s="372">
        <f>IF(A540="","",IFERROR(INDEX($D$7:$D$56,MATCH(A540,$A$7:$A$56,0)),"Nº INVÁLIDO"))</f>
        <v/>
      </c>
      <c r="D540" s="380" t="n"/>
      <c r="E540" s="381">
        <f>IF(D540="","",IFERROR(INDEX('Entrada de Dados'!$B$6:$B$196,MATCH(D540,'Entrada de Dados'!$A$6:$A$196,0)),"CÓDIGO INVÁLIDO"))</f>
        <v/>
      </c>
      <c r="F540" s="373" t="n"/>
      <c r="G540" s="375" t="n"/>
      <c r="H540" s="375" t="n"/>
      <c r="I540" s="376">
        <f>IF(G540="",0,MAX(G540-H540,0))</f>
        <v/>
      </c>
      <c r="J540" s="380" t="n"/>
      <c r="K540" s="162">
        <f>IF(AND(A540="",D540="",G540="",H540=""),"",IF(AND(OR(A540&lt;&gt;"",D540&lt;&gt;""),G540=""),"⏳ PENDENTE (falta qtd. apresentada)",IF(AND(G540&lt;&gt;"",OR(A540="",D540="")),"❌ FALTA Nº RECEBIMENTO/ESCOLA",IF(B540="Nº INVÁLIDO","❌ Nº DE RECEBIMENTO INVÁLIDO",IF(E540="CÓDIGO INVÁLIDO","❌ CÓDIGO DE ESCOLA INVÁLIDO",IF(H540&gt;G540,"❌ REJEITADO MAIOR QUE APRESENTADO",IF(AND(A540&lt;&gt;"",SUMIF($A$60:$A$559,A540,$G$60:$G$559)&gt;INDEX($G$7:$G$56,MATCH(A540,$A$7:$A$56,0))+0.01),"❌ DISTRIBUÍDO MAIS QUE O ACEITO NESSE RECEBIMENTO","OK")))))))</f>
        <v/>
      </c>
      <c r="L540" s="389">
        <f>IF(A540="","",ROW()-59)</f>
        <v/>
      </c>
    </row>
    <row r="541" hidden="1" outlineLevel="1" s="163">
      <c r="A541" s="380" t="n"/>
      <c r="B541" s="372">
        <f>IF(A541="","",IFERROR(INDEX($C$7:$C$56,MATCH(A541,$A$7:$A$56,0)),"Nº INVÁLIDO"))</f>
        <v/>
      </c>
      <c r="C541" s="372">
        <f>IF(A541="","",IFERROR(INDEX($D$7:$D$56,MATCH(A541,$A$7:$A$56,0)),"Nº INVÁLIDO"))</f>
        <v/>
      </c>
      <c r="D541" s="380" t="n"/>
      <c r="E541" s="381">
        <f>IF(D541="","",IFERROR(INDEX('Entrada de Dados'!$B$6:$B$196,MATCH(D541,'Entrada de Dados'!$A$6:$A$196,0)),"CÓDIGO INVÁLIDO"))</f>
        <v/>
      </c>
      <c r="F541" s="373" t="n"/>
      <c r="G541" s="375" t="n"/>
      <c r="H541" s="375" t="n"/>
      <c r="I541" s="376">
        <f>IF(G541="",0,MAX(G541-H541,0))</f>
        <v/>
      </c>
      <c r="J541" s="380" t="n"/>
      <c r="K541" s="162">
        <f>IF(AND(A541="",D541="",G541="",H541=""),"",IF(AND(OR(A541&lt;&gt;"",D541&lt;&gt;""),G541=""),"⏳ PENDENTE (falta qtd. apresentada)",IF(AND(G541&lt;&gt;"",OR(A541="",D541="")),"❌ FALTA Nº RECEBIMENTO/ESCOLA",IF(B541="Nº INVÁLIDO","❌ Nº DE RECEBIMENTO INVÁLIDO",IF(E541="CÓDIGO INVÁLIDO","❌ CÓDIGO DE ESCOLA INVÁLIDO",IF(H541&gt;G541,"❌ REJEITADO MAIOR QUE APRESENTADO",IF(AND(A541&lt;&gt;"",SUMIF($A$60:$A$559,A541,$G$60:$G$559)&gt;INDEX($G$7:$G$56,MATCH(A541,$A$7:$A$56,0))+0.01),"❌ DISTRIBUÍDO MAIS QUE O ACEITO NESSE RECEBIMENTO","OK")))))))</f>
        <v/>
      </c>
      <c r="L541" s="389">
        <f>IF(A541="","",ROW()-59)</f>
        <v/>
      </c>
    </row>
    <row r="542" hidden="1" outlineLevel="1" s="163">
      <c r="A542" s="380" t="n"/>
      <c r="B542" s="372">
        <f>IF(A542="","",IFERROR(INDEX($C$7:$C$56,MATCH(A542,$A$7:$A$56,0)),"Nº INVÁLIDO"))</f>
        <v/>
      </c>
      <c r="C542" s="372">
        <f>IF(A542="","",IFERROR(INDEX($D$7:$D$56,MATCH(A542,$A$7:$A$56,0)),"Nº INVÁLIDO"))</f>
        <v/>
      </c>
      <c r="D542" s="380" t="n"/>
      <c r="E542" s="381">
        <f>IF(D542="","",IFERROR(INDEX('Entrada de Dados'!$B$6:$B$196,MATCH(D542,'Entrada de Dados'!$A$6:$A$196,0)),"CÓDIGO INVÁLIDO"))</f>
        <v/>
      </c>
      <c r="F542" s="373" t="n"/>
      <c r="G542" s="375" t="n"/>
      <c r="H542" s="375" t="n"/>
      <c r="I542" s="376">
        <f>IF(G542="",0,MAX(G542-H542,0))</f>
        <v/>
      </c>
      <c r="J542" s="380" t="n"/>
      <c r="K542" s="162">
        <f>IF(AND(A542="",D542="",G542="",H542=""),"",IF(AND(OR(A542&lt;&gt;"",D542&lt;&gt;""),G542=""),"⏳ PENDENTE (falta qtd. apresentada)",IF(AND(G542&lt;&gt;"",OR(A542="",D542="")),"❌ FALTA Nº RECEBIMENTO/ESCOLA",IF(B542="Nº INVÁLIDO","❌ Nº DE RECEBIMENTO INVÁLIDO",IF(E542="CÓDIGO INVÁLIDO","❌ CÓDIGO DE ESCOLA INVÁLIDO",IF(H542&gt;G542,"❌ REJEITADO MAIOR QUE APRESENTADO",IF(AND(A542&lt;&gt;"",SUMIF($A$60:$A$559,A542,$G$60:$G$559)&gt;INDEX($G$7:$G$56,MATCH(A542,$A$7:$A$56,0))+0.01),"❌ DISTRIBUÍDO MAIS QUE O ACEITO NESSE RECEBIMENTO","OK")))))))</f>
        <v/>
      </c>
      <c r="L542" s="389">
        <f>IF(A542="","",ROW()-59)</f>
        <v/>
      </c>
    </row>
    <row r="543" hidden="1" outlineLevel="1" s="163">
      <c r="A543" s="380" t="n"/>
      <c r="B543" s="372">
        <f>IF(A543="","",IFERROR(INDEX($C$7:$C$56,MATCH(A543,$A$7:$A$56,0)),"Nº INVÁLIDO"))</f>
        <v/>
      </c>
      <c r="C543" s="372">
        <f>IF(A543="","",IFERROR(INDEX($D$7:$D$56,MATCH(A543,$A$7:$A$56,0)),"Nº INVÁLIDO"))</f>
        <v/>
      </c>
      <c r="D543" s="380" t="n"/>
      <c r="E543" s="381">
        <f>IF(D543="","",IFERROR(INDEX('Entrada de Dados'!$B$6:$B$196,MATCH(D543,'Entrada de Dados'!$A$6:$A$196,0)),"CÓDIGO INVÁLIDO"))</f>
        <v/>
      </c>
      <c r="F543" s="373" t="n"/>
      <c r="G543" s="375" t="n"/>
      <c r="H543" s="375" t="n"/>
      <c r="I543" s="376">
        <f>IF(G543="",0,MAX(G543-H543,0))</f>
        <v/>
      </c>
      <c r="J543" s="380" t="n"/>
      <c r="K543" s="162">
        <f>IF(AND(A543="",D543="",G543="",H543=""),"",IF(AND(OR(A543&lt;&gt;"",D543&lt;&gt;""),G543=""),"⏳ PENDENTE (falta qtd. apresentada)",IF(AND(G543&lt;&gt;"",OR(A543="",D543="")),"❌ FALTA Nº RECEBIMENTO/ESCOLA",IF(B543="Nº INVÁLIDO","❌ Nº DE RECEBIMENTO INVÁLIDO",IF(E543="CÓDIGO INVÁLIDO","❌ CÓDIGO DE ESCOLA INVÁLIDO",IF(H543&gt;G543,"❌ REJEITADO MAIOR QUE APRESENTADO",IF(AND(A543&lt;&gt;"",SUMIF($A$60:$A$559,A543,$G$60:$G$559)&gt;INDEX($G$7:$G$56,MATCH(A543,$A$7:$A$56,0))+0.01),"❌ DISTRIBUÍDO MAIS QUE O ACEITO NESSE RECEBIMENTO","OK")))))))</f>
        <v/>
      </c>
      <c r="L543" s="389">
        <f>IF(A543="","",ROW()-59)</f>
        <v/>
      </c>
    </row>
    <row r="544" hidden="1" outlineLevel="1" s="163">
      <c r="A544" s="380" t="n"/>
      <c r="B544" s="372">
        <f>IF(A544="","",IFERROR(INDEX($C$7:$C$56,MATCH(A544,$A$7:$A$56,0)),"Nº INVÁLIDO"))</f>
        <v/>
      </c>
      <c r="C544" s="372">
        <f>IF(A544="","",IFERROR(INDEX($D$7:$D$56,MATCH(A544,$A$7:$A$56,0)),"Nº INVÁLIDO"))</f>
        <v/>
      </c>
      <c r="D544" s="380" t="n"/>
      <c r="E544" s="381">
        <f>IF(D544="","",IFERROR(INDEX('Entrada de Dados'!$B$6:$B$196,MATCH(D544,'Entrada de Dados'!$A$6:$A$196,0)),"CÓDIGO INVÁLIDO"))</f>
        <v/>
      </c>
      <c r="F544" s="373" t="n"/>
      <c r="G544" s="375" t="n"/>
      <c r="H544" s="375" t="n"/>
      <c r="I544" s="376">
        <f>IF(G544="",0,MAX(G544-H544,0))</f>
        <v/>
      </c>
      <c r="J544" s="380" t="n"/>
      <c r="K544" s="162">
        <f>IF(AND(A544="",D544="",G544="",H544=""),"",IF(AND(OR(A544&lt;&gt;"",D544&lt;&gt;""),G544=""),"⏳ PENDENTE (falta qtd. apresentada)",IF(AND(G544&lt;&gt;"",OR(A544="",D544="")),"❌ FALTA Nº RECEBIMENTO/ESCOLA",IF(B544="Nº INVÁLIDO","❌ Nº DE RECEBIMENTO INVÁLIDO",IF(E544="CÓDIGO INVÁLIDO","❌ CÓDIGO DE ESCOLA INVÁLIDO",IF(H544&gt;G544,"❌ REJEITADO MAIOR QUE APRESENTADO",IF(AND(A544&lt;&gt;"",SUMIF($A$60:$A$559,A544,$G$60:$G$559)&gt;INDEX($G$7:$G$56,MATCH(A544,$A$7:$A$56,0))+0.01),"❌ DISTRIBUÍDO MAIS QUE O ACEITO NESSE RECEBIMENTO","OK")))))))</f>
        <v/>
      </c>
      <c r="L544" s="389">
        <f>IF(A544="","",ROW()-59)</f>
        <v/>
      </c>
    </row>
    <row r="545" hidden="1" outlineLevel="1" s="163">
      <c r="A545" s="380" t="n"/>
      <c r="B545" s="372">
        <f>IF(A545="","",IFERROR(INDEX($C$7:$C$56,MATCH(A545,$A$7:$A$56,0)),"Nº INVÁLIDO"))</f>
        <v/>
      </c>
      <c r="C545" s="372">
        <f>IF(A545="","",IFERROR(INDEX($D$7:$D$56,MATCH(A545,$A$7:$A$56,0)),"Nº INVÁLIDO"))</f>
        <v/>
      </c>
      <c r="D545" s="380" t="n"/>
      <c r="E545" s="381">
        <f>IF(D545="","",IFERROR(INDEX('Entrada de Dados'!$B$6:$B$196,MATCH(D545,'Entrada de Dados'!$A$6:$A$196,0)),"CÓDIGO INVÁLIDO"))</f>
        <v/>
      </c>
      <c r="F545" s="373" t="n"/>
      <c r="G545" s="375" t="n"/>
      <c r="H545" s="375" t="n"/>
      <c r="I545" s="376">
        <f>IF(G545="",0,MAX(G545-H545,0))</f>
        <v/>
      </c>
      <c r="J545" s="380" t="n"/>
      <c r="K545" s="162">
        <f>IF(AND(A545="",D545="",G545="",H545=""),"",IF(AND(OR(A545&lt;&gt;"",D545&lt;&gt;""),G545=""),"⏳ PENDENTE (falta qtd. apresentada)",IF(AND(G545&lt;&gt;"",OR(A545="",D545="")),"❌ FALTA Nº RECEBIMENTO/ESCOLA",IF(B545="Nº INVÁLIDO","❌ Nº DE RECEBIMENTO INVÁLIDO",IF(E545="CÓDIGO INVÁLIDO","❌ CÓDIGO DE ESCOLA INVÁLIDO",IF(H545&gt;G545,"❌ REJEITADO MAIOR QUE APRESENTADO",IF(AND(A545&lt;&gt;"",SUMIF($A$60:$A$559,A545,$G$60:$G$559)&gt;INDEX($G$7:$G$56,MATCH(A545,$A$7:$A$56,0))+0.01),"❌ DISTRIBUÍDO MAIS QUE O ACEITO NESSE RECEBIMENTO","OK")))))))</f>
        <v/>
      </c>
      <c r="L545" s="389">
        <f>IF(A545="","",ROW()-59)</f>
        <v/>
      </c>
    </row>
    <row r="546" hidden="1" outlineLevel="1" s="163">
      <c r="A546" s="380" t="n"/>
      <c r="B546" s="372">
        <f>IF(A546="","",IFERROR(INDEX($C$7:$C$56,MATCH(A546,$A$7:$A$56,0)),"Nº INVÁLIDO"))</f>
        <v/>
      </c>
      <c r="C546" s="372">
        <f>IF(A546="","",IFERROR(INDEX($D$7:$D$56,MATCH(A546,$A$7:$A$56,0)),"Nº INVÁLIDO"))</f>
        <v/>
      </c>
      <c r="D546" s="380" t="n"/>
      <c r="E546" s="381">
        <f>IF(D546="","",IFERROR(INDEX('Entrada de Dados'!$B$6:$B$196,MATCH(D546,'Entrada de Dados'!$A$6:$A$196,0)),"CÓDIGO INVÁLIDO"))</f>
        <v/>
      </c>
      <c r="F546" s="373" t="n"/>
      <c r="G546" s="375" t="n"/>
      <c r="H546" s="375" t="n"/>
      <c r="I546" s="376">
        <f>IF(G546="",0,MAX(G546-H546,0))</f>
        <v/>
      </c>
      <c r="J546" s="380" t="n"/>
      <c r="K546" s="162">
        <f>IF(AND(A546="",D546="",G546="",H546=""),"",IF(AND(OR(A546&lt;&gt;"",D546&lt;&gt;""),G546=""),"⏳ PENDENTE (falta qtd. apresentada)",IF(AND(G546&lt;&gt;"",OR(A546="",D546="")),"❌ FALTA Nº RECEBIMENTO/ESCOLA",IF(B546="Nº INVÁLIDO","❌ Nº DE RECEBIMENTO INVÁLIDO",IF(E546="CÓDIGO INVÁLIDO","❌ CÓDIGO DE ESCOLA INVÁLIDO",IF(H546&gt;G546,"❌ REJEITADO MAIOR QUE APRESENTADO",IF(AND(A546&lt;&gt;"",SUMIF($A$60:$A$559,A546,$G$60:$G$559)&gt;INDEX($G$7:$G$56,MATCH(A546,$A$7:$A$56,0))+0.01),"❌ DISTRIBUÍDO MAIS QUE O ACEITO NESSE RECEBIMENTO","OK")))))))</f>
        <v/>
      </c>
      <c r="L546" s="389">
        <f>IF(A546="","",ROW()-59)</f>
        <v/>
      </c>
    </row>
    <row r="547" hidden="1" outlineLevel="1" s="163">
      <c r="A547" s="380" t="n"/>
      <c r="B547" s="372">
        <f>IF(A547="","",IFERROR(INDEX($C$7:$C$56,MATCH(A547,$A$7:$A$56,0)),"Nº INVÁLIDO"))</f>
        <v/>
      </c>
      <c r="C547" s="372">
        <f>IF(A547="","",IFERROR(INDEX($D$7:$D$56,MATCH(A547,$A$7:$A$56,0)),"Nº INVÁLIDO"))</f>
        <v/>
      </c>
      <c r="D547" s="380" t="n"/>
      <c r="E547" s="381">
        <f>IF(D547="","",IFERROR(INDEX('Entrada de Dados'!$B$6:$B$196,MATCH(D547,'Entrada de Dados'!$A$6:$A$196,0)),"CÓDIGO INVÁLIDO"))</f>
        <v/>
      </c>
      <c r="F547" s="373" t="n"/>
      <c r="G547" s="375" t="n"/>
      <c r="H547" s="375" t="n"/>
      <c r="I547" s="376">
        <f>IF(G547="",0,MAX(G547-H547,0))</f>
        <v/>
      </c>
      <c r="J547" s="380" t="n"/>
      <c r="K547" s="162">
        <f>IF(AND(A547="",D547="",G547="",H547=""),"",IF(AND(OR(A547&lt;&gt;"",D547&lt;&gt;""),G547=""),"⏳ PENDENTE (falta qtd. apresentada)",IF(AND(G547&lt;&gt;"",OR(A547="",D547="")),"❌ FALTA Nº RECEBIMENTO/ESCOLA",IF(B547="Nº INVÁLIDO","❌ Nº DE RECEBIMENTO INVÁLIDO",IF(E547="CÓDIGO INVÁLIDO","❌ CÓDIGO DE ESCOLA INVÁLIDO",IF(H547&gt;G547,"❌ REJEITADO MAIOR QUE APRESENTADO",IF(AND(A547&lt;&gt;"",SUMIF($A$60:$A$559,A547,$G$60:$G$559)&gt;INDEX($G$7:$G$56,MATCH(A547,$A$7:$A$56,0))+0.01),"❌ DISTRIBUÍDO MAIS QUE O ACEITO NESSE RECEBIMENTO","OK")))))))</f>
        <v/>
      </c>
      <c r="L547" s="389">
        <f>IF(A547="","",ROW()-59)</f>
        <v/>
      </c>
    </row>
    <row r="548" hidden="1" outlineLevel="1" s="163">
      <c r="A548" s="380" t="n"/>
      <c r="B548" s="372">
        <f>IF(A548="","",IFERROR(INDEX($C$7:$C$56,MATCH(A548,$A$7:$A$56,0)),"Nº INVÁLIDO"))</f>
        <v/>
      </c>
      <c r="C548" s="372">
        <f>IF(A548="","",IFERROR(INDEX($D$7:$D$56,MATCH(A548,$A$7:$A$56,0)),"Nº INVÁLIDO"))</f>
        <v/>
      </c>
      <c r="D548" s="380" t="n"/>
      <c r="E548" s="381">
        <f>IF(D548="","",IFERROR(INDEX('Entrada de Dados'!$B$6:$B$196,MATCH(D548,'Entrada de Dados'!$A$6:$A$196,0)),"CÓDIGO INVÁLIDO"))</f>
        <v/>
      </c>
      <c r="F548" s="373" t="n"/>
      <c r="G548" s="375" t="n"/>
      <c r="H548" s="375" t="n"/>
      <c r="I548" s="376">
        <f>IF(G548="",0,MAX(G548-H548,0))</f>
        <v/>
      </c>
      <c r="J548" s="380" t="n"/>
      <c r="K548" s="162">
        <f>IF(AND(A548="",D548="",G548="",H548=""),"",IF(AND(OR(A548&lt;&gt;"",D548&lt;&gt;""),G548=""),"⏳ PENDENTE (falta qtd. apresentada)",IF(AND(G548&lt;&gt;"",OR(A548="",D548="")),"❌ FALTA Nº RECEBIMENTO/ESCOLA",IF(B548="Nº INVÁLIDO","❌ Nº DE RECEBIMENTO INVÁLIDO",IF(E548="CÓDIGO INVÁLIDO","❌ CÓDIGO DE ESCOLA INVÁLIDO",IF(H548&gt;G548,"❌ REJEITADO MAIOR QUE APRESENTADO",IF(AND(A548&lt;&gt;"",SUMIF($A$60:$A$559,A548,$G$60:$G$559)&gt;INDEX($G$7:$G$56,MATCH(A548,$A$7:$A$56,0))+0.01),"❌ DISTRIBUÍDO MAIS QUE O ACEITO NESSE RECEBIMENTO","OK")))))))</f>
        <v/>
      </c>
      <c r="L548" s="389">
        <f>IF(A548="","",ROW()-59)</f>
        <v/>
      </c>
    </row>
    <row r="549" hidden="1" outlineLevel="1" s="163">
      <c r="A549" s="380" t="n"/>
      <c r="B549" s="372">
        <f>IF(A549="","",IFERROR(INDEX($C$7:$C$56,MATCH(A549,$A$7:$A$56,0)),"Nº INVÁLIDO"))</f>
        <v/>
      </c>
      <c r="C549" s="372">
        <f>IF(A549="","",IFERROR(INDEX($D$7:$D$56,MATCH(A549,$A$7:$A$56,0)),"Nº INVÁLIDO"))</f>
        <v/>
      </c>
      <c r="D549" s="380" t="n"/>
      <c r="E549" s="381">
        <f>IF(D549="","",IFERROR(INDEX('Entrada de Dados'!$B$6:$B$196,MATCH(D549,'Entrada de Dados'!$A$6:$A$196,0)),"CÓDIGO INVÁLIDO"))</f>
        <v/>
      </c>
      <c r="F549" s="373" t="n"/>
      <c r="G549" s="375" t="n"/>
      <c r="H549" s="375" t="n"/>
      <c r="I549" s="376">
        <f>IF(G549="",0,MAX(G549-H549,0))</f>
        <v/>
      </c>
      <c r="J549" s="380" t="n"/>
      <c r="K549" s="162">
        <f>IF(AND(A549="",D549="",G549="",H549=""),"",IF(AND(OR(A549&lt;&gt;"",D549&lt;&gt;""),G549=""),"⏳ PENDENTE (falta qtd. apresentada)",IF(AND(G549&lt;&gt;"",OR(A549="",D549="")),"❌ FALTA Nº RECEBIMENTO/ESCOLA",IF(B549="Nº INVÁLIDO","❌ Nº DE RECEBIMENTO INVÁLIDO",IF(E549="CÓDIGO INVÁLIDO","❌ CÓDIGO DE ESCOLA INVÁLIDO",IF(H549&gt;G549,"❌ REJEITADO MAIOR QUE APRESENTADO",IF(AND(A549&lt;&gt;"",SUMIF($A$60:$A$559,A549,$G$60:$G$559)&gt;INDEX($G$7:$G$56,MATCH(A549,$A$7:$A$56,0))+0.01),"❌ DISTRIBUÍDO MAIS QUE O ACEITO NESSE RECEBIMENTO","OK")))))))</f>
        <v/>
      </c>
      <c r="L549" s="389">
        <f>IF(A549="","",ROW()-59)</f>
        <v/>
      </c>
    </row>
    <row r="550" hidden="1" outlineLevel="1" s="163">
      <c r="A550" s="380" t="n"/>
      <c r="B550" s="372">
        <f>IF(A550="","",IFERROR(INDEX($C$7:$C$56,MATCH(A550,$A$7:$A$56,0)),"Nº INVÁLIDO"))</f>
        <v/>
      </c>
      <c r="C550" s="372">
        <f>IF(A550="","",IFERROR(INDEX($D$7:$D$56,MATCH(A550,$A$7:$A$56,0)),"Nº INVÁLIDO"))</f>
        <v/>
      </c>
      <c r="D550" s="380" t="n"/>
      <c r="E550" s="381">
        <f>IF(D550="","",IFERROR(INDEX('Entrada de Dados'!$B$6:$B$196,MATCH(D550,'Entrada de Dados'!$A$6:$A$196,0)),"CÓDIGO INVÁLIDO"))</f>
        <v/>
      </c>
      <c r="F550" s="373" t="n"/>
      <c r="G550" s="375" t="n"/>
      <c r="H550" s="375" t="n"/>
      <c r="I550" s="376">
        <f>IF(G550="",0,MAX(G550-H550,0))</f>
        <v/>
      </c>
      <c r="J550" s="380" t="n"/>
      <c r="K550" s="162">
        <f>IF(AND(A550="",D550="",G550="",H550=""),"",IF(AND(OR(A550&lt;&gt;"",D550&lt;&gt;""),G550=""),"⏳ PENDENTE (falta qtd. apresentada)",IF(AND(G550&lt;&gt;"",OR(A550="",D550="")),"❌ FALTA Nº RECEBIMENTO/ESCOLA",IF(B550="Nº INVÁLIDO","❌ Nº DE RECEBIMENTO INVÁLIDO",IF(E550="CÓDIGO INVÁLIDO","❌ CÓDIGO DE ESCOLA INVÁLIDO",IF(H550&gt;G550,"❌ REJEITADO MAIOR QUE APRESENTADO",IF(AND(A550&lt;&gt;"",SUMIF($A$60:$A$559,A550,$G$60:$G$559)&gt;INDEX($G$7:$G$56,MATCH(A550,$A$7:$A$56,0))+0.01),"❌ DISTRIBUÍDO MAIS QUE O ACEITO NESSE RECEBIMENTO","OK")))))))</f>
        <v/>
      </c>
      <c r="L550" s="389">
        <f>IF(A550="","",ROW()-59)</f>
        <v/>
      </c>
    </row>
    <row r="551" hidden="1" outlineLevel="1" s="163">
      <c r="A551" s="380" t="n"/>
      <c r="B551" s="372">
        <f>IF(A551="","",IFERROR(INDEX($C$7:$C$56,MATCH(A551,$A$7:$A$56,0)),"Nº INVÁLIDO"))</f>
        <v/>
      </c>
      <c r="C551" s="372">
        <f>IF(A551="","",IFERROR(INDEX($D$7:$D$56,MATCH(A551,$A$7:$A$56,0)),"Nº INVÁLIDO"))</f>
        <v/>
      </c>
      <c r="D551" s="380" t="n"/>
      <c r="E551" s="381">
        <f>IF(D551="","",IFERROR(INDEX('Entrada de Dados'!$B$6:$B$196,MATCH(D551,'Entrada de Dados'!$A$6:$A$196,0)),"CÓDIGO INVÁLIDO"))</f>
        <v/>
      </c>
      <c r="F551" s="373" t="n"/>
      <c r="G551" s="375" t="n"/>
      <c r="H551" s="375" t="n"/>
      <c r="I551" s="376">
        <f>IF(G551="",0,MAX(G551-H551,0))</f>
        <v/>
      </c>
      <c r="J551" s="380" t="n"/>
      <c r="K551" s="162">
        <f>IF(AND(A551="",D551="",G551="",H551=""),"",IF(AND(OR(A551&lt;&gt;"",D551&lt;&gt;""),G551=""),"⏳ PENDENTE (falta qtd. apresentada)",IF(AND(G551&lt;&gt;"",OR(A551="",D551="")),"❌ FALTA Nº RECEBIMENTO/ESCOLA",IF(B551="Nº INVÁLIDO","❌ Nº DE RECEBIMENTO INVÁLIDO",IF(E551="CÓDIGO INVÁLIDO","❌ CÓDIGO DE ESCOLA INVÁLIDO",IF(H551&gt;G551,"❌ REJEITADO MAIOR QUE APRESENTADO",IF(AND(A551&lt;&gt;"",SUMIF($A$60:$A$559,A551,$G$60:$G$559)&gt;INDEX($G$7:$G$56,MATCH(A551,$A$7:$A$56,0))+0.01),"❌ DISTRIBUÍDO MAIS QUE O ACEITO NESSE RECEBIMENTO","OK")))))))</f>
        <v/>
      </c>
      <c r="L551" s="389">
        <f>IF(A551="","",ROW()-59)</f>
        <v/>
      </c>
    </row>
    <row r="552" hidden="1" outlineLevel="1" s="163">
      <c r="A552" s="380" t="n"/>
      <c r="B552" s="372">
        <f>IF(A552="","",IFERROR(INDEX($C$7:$C$56,MATCH(A552,$A$7:$A$56,0)),"Nº INVÁLIDO"))</f>
        <v/>
      </c>
      <c r="C552" s="372">
        <f>IF(A552="","",IFERROR(INDEX($D$7:$D$56,MATCH(A552,$A$7:$A$56,0)),"Nº INVÁLIDO"))</f>
        <v/>
      </c>
      <c r="D552" s="380" t="n"/>
      <c r="E552" s="381">
        <f>IF(D552="","",IFERROR(INDEX('Entrada de Dados'!$B$6:$B$196,MATCH(D552,'Entrada de Dados'!$A$6:$A$196,0)),"CÓDIGO INVÁLIDO"))</f>
        <v/>
      </c>
      <c r="F552" s="373" t="n"/>
      <c r="G552" s="375" t="n"/>
      <c r="H552" s="375" t="n"/>
      <c r="I552" s="376">
        <f>IF(G552="",0,MAX(G552-H552,0))</f>
        <v/>
      </c>
      <c r="J552" s="380" t="n"/>
      <c r="K552" s="162">
        <f>IF(AND(A552="",D552="",G552="",H552=""),"",IF(AND(OR(A552&lt;&gt;"",D552&lt;&gt;""),G552=""),"⏳ PENDENTE (falta qtd. apresentada)",IF(AND(G552&lt;&gt;"",OR(A552="",D552="")),"❌ FALTA Nº RECEBIMENTO/ESCOLA",IF(B552="Nº INVÁLIDO","❌ Nº DE RECEBIMENTO INVÁLIDO",IF(E552="CÓDIGO INVÁLIDO","❌ CÓDIGO DE ESCOLA INVÁLIDO",IF(H552&gt;G552,"❌ REJEITADO MAIOR QUE APRESENTADO",IF(AND(A552&lt;&gt;"",SUMIF($A$60:$A$559,A552,$G$60:$G$559)&gt;INDEX($G$7:$G$56,MATCH(A552,$A$7:$A$56,0))+0.01),"❌ DISTRIBUÍDO MAIS QUE O ACEITO NESSE RECEBIMENTO","OK")))))))</f>
        <v/>
      </c>
      <c r="L552" s="389">
        <f>IF(A552="","",ROW()-59)</f>
        <v/>
      </c>
    </row>
    <row r="553" hidden="1" outlineLevel="1" s="163">
      <c r="A553" s="380" t="n"/>
      <c r="B553" s="372">
        <f>IF(A553="","",IFERROR(INDEX($C$7:$C$56,MATCH(A553,$A$7:$A$56,0)),"Nº INVÁLIDO"))</f>
        <v/>
      </c>
      <c r="C553" s="372">
        <f>IF(A553="","",IFERROR(INDEX($D$7:$D$56,MATCH(A553,$A$7:$A$56,0)),"Nº INVÁLIDO"))</f>
        <v/>
      </c>
      <c r="D553" s="380" t="n"/>
      <c r="E553" s="381">
        <f>IF(D553="","",IFERROR(INDEX('Entrada de Dados'!$B$6:$B$196,MATCH(D553,'Entrada de Dados'!$A$6:$A$196,0)),"CÓDIGO INVÁLIDO"))</f>
        <v/>
      </c>
      <c r="F553" s="373" t="n"/>
      <c r="G553" s="375" t="n"/>
      <c r="H553" s="375" t="n"/>
      <c r="I553" s="376">
        <f>IF(G553="",0,MAX(G553-H553,0))</f>
        <v/>
      </c>
      <c r="J553" s="380" t="n"/>
      <c r="K553" s="162">
        <f>IF(AND(A553="",D553="",G553="",H553=""),"",IF(AND(OR(A553&lt;&gt;"",D553&lt;&gt;""),G553=""),"⏳ PENDENTE (falta qtd. apresentada)",IF(AND(G553&lt;&gt;"",OR(A553="",D553="")),"❌ FALTA Nº RECEBIMENTO/ESCOLA",IF(B553="Nº INVÁLIDO","❌ Nº DE RECEBIMENTO INVÁLIDO",IF(E553="CÓDIGO INVÁLIDO","❌ CÓDIGO DE ESCOLA INVÁLIDO",IF(H553&gt;G553,"❌ REJEITADO MAIOR QUE APRESENTADO",IF(AND(A553&lt;&gt;"",SUMIF($A$60:$A$559,A553,$G$60:$G$559)&gt;INDEX($G$7:$G$56,MATCH(A553,$A$7:$A$56,0))+0.01),"❌ DISTRIBUÍDO MAIS QUE O ACEITO NESSE RECEBIMENTO","OK")))))))</f>
        <v/>
      </c>
      <c r="L553" s="389">
        <f>IF(A553="","",ROW()-59)</f>
        <v/>
      </c>
    </row>
    <row r="554" hidden="1" outlineLevel="1" s="163">
      <c r="A554" s="380" t="n"/>
      <c r="B554" s="372">
        <f>IF(A554="","",IFERROR(INDEX($C$7:$C$56,MATCH(A554,$A$7:$A$56,0)),"Nº INVÁLIDO"))</f>
        <v/>
      </c>
      <c r="C554" s="372">
        <f>IF(A554="","",IFERROR(INDEX($D$7:$D$56,MATCH(A554,$A$7:$A$56,0)),"Nº INVÁLIDO"))</f>
        <v/>
      </c>
      <c r="D554" s="380" t="n"/>
      <c r="E554" s="381">
        <f>IF(D554="","",IFERROR(INDEX('Entrada de Dados'!$B$6:$B$196,MATCH(D554,'Entrada de Dados'!$A$6:$A$196,0)),"CÓDIGO INVÁLIDO"))</f>
        <v/>
      </c>
      <c r="F554" s="373" t="n"/>
      <c r="G554" s="375" t="n"/>
      <c r="H554" s="375" t="n"/>
      <c r="I554" s="376">
        <f>IF(G554="",0,MAX(G554-H554,0))</f>
        <v/>
      </c>
      <c r="J554" s="380" t="n"/>
      <c r="K554" s="162">
        <f>IF(AND(A554="",D554="",G554="",H554=""),"",IF(AND(OR(A554&lt;&gt;"",D554&lt;&gt;""),G554=""),"⏳ PENDENTE (falta qtd. apresentada)",IF(AND(G554&lt;&gt;"",OR(A554="",D554="")),"❌ FALTA Nº RECEBIMENTO/ESCOLA",IF(B554="Nº INVÁLIDO","❌ Nº DE RECEBIMENTO INVÁLIDO",IF(E554="CÓDIGO INVÁLIDO","❌ CÓDIGO DE ESCOLA INVÁLIDO",IF(H554&gt;G554,"❌ REJEITADO MAIOR QUE APRESENTADO",IF(AND(A554&lt;&gt;"",SUMIF($A$60:$A$559,A554,$G$60:$G$559)&gt;INDEX($G$7:$G$56,MATCH(A554,$A$7:$A$56,0))+0.01),"❌ DISTRIBUÍDO MAIS QUE O ACEITO NESSE RECEBIMENTO","OK")))))))</f>
        <v/>
      </c>
      <c r="L554" s="389">
        <f>IF(A554="","",ROW()-59)</f>
        <v/>
      </c>
    </row>
    <row r="555" hidden="1" outlineLevel="1" s="163">
      <c r="A555" s="380" t="n"/>
      <c r="B555" s="372">
        <f>IF(A555="","",IFERROR(INDEX($C$7:$C$56,MATCH(A555,$A$7:$A$56,0)),"Nº INVÁLIDO"))</f>
        <v/>
      </c>
      <c r="C555" s="372">
        <f>IF(A555="","",IFERROR(INDEX($D$7:$D$56,MATCH(A555,$A$7:$A$56,0)),"Nº INVÁLIDO"))</f>
        <v/>
      </c>
      <c r="D555" s="380" t="n"/>
      <c r="E555" s="381">
        <f>IF(D555="","",IFERROR(INDEX('Entrada de Dados'!$B$6:$B$196,MATCH(D555,'Entrada de Dados'!$A$6:$A$196,0)),"CÓDIGO INVÁLIDO"))</f>
        <v/>
      </c>
      <c r="F555" s="373" t="n"/>
      <c r="G555" s="375" t="n"/>
      <c r="H555" s="375" t="n"/>
      <c r="I555" s="376">
        <f>IF(G555="",0,MAX(G555-H555,0))</f>
        <v/>
      </c>
      <c r="J555" s="380" t="n"/>
      <c r="K555" s="162">
        <f>IF(AND(A555="",D555="",G555="",H555=""),"",IF(AND(OR(A555&lt;&gt;"",D555&lt;&gt;""),G555=""),"⏳ PENDENTE (falta qtd. apresentada)",IF(AND(G555&lt;&gt;"",OR(A555="",D555="")),"❌ FALTA Nº RECEBIMENTO/ESCOLA",IF(B555="Nº INVÁLIDO","❌ Nº DE RECEBIMENTO INVÁLIDO",IF(E555="CÓDIGO INVÁLIDO","❌ CÓDIGO DE ESCOLA INVÁLIDO",IF(H555&gt;G555,"❌ REJEITADO MAIOR QUE APRESENTADO",IF(AND(A555&lt;&gt;"",SUMIF($A$60:$A$559,A555,$G$60:$G$559)&gt;INDEX($G$7:$G$56,MATCH(A555,$A$7:$A$56,0))+0.01),"❌ DISTRIBUÍDO MAIS QUE O ACEITO NESSE RECEBIMENTO","OK")))))))</f>
        <v/>
      </c>
      <c r="L555" s="389">
        <f>IF(A555="","",ROW()-59)</f>
        <v/>
      </c>
    </row>
    <row r="556" hidden="1" outlineLevel="1" s="163">
      <c r="A556" s="380" t="n"/>
      <c r="B556" s="372">
        <f>IF(A556="","",IFERROR(INDEX($C$7:$C$56,MATCH(A556,$A$7:$A$56,0)),"Nº INVÁLIDO"))</f>
        <v/>
      </c>
      <c r="C556" s="372">
        <f>IF(A556="","",IFERROR(INDEX($D$7:$D$56,MATCH(A556,$A$7:$A$56,0)),"Nº INVÁLIDO"))</f>
        <v/>
      </c>
      <c r="D556" s="380" t="n"/>
      <c r="E556" s="381">
        <f>IF(D556="","",IFERROR(INDEX('Entrada de Dados'!$B$6:$B$196,MATCH(D556,'Entrada de Dados'!$A$6:$A$196,0)),"CÓDIGO INVÁLIDO"))</f>
        <v/>
      </c>
      <c r="F556" s="373" t="n"/>
      <c r="G556" s="375" t="n"/>
      <c r="H556" s="375" t="n"/>
      <c r="I556" s="376">
        <f>IF(G556="",0,MAX(G556-H556,0))</f>
        <v/>
      </c>
      <c r="J556" s="380" t="n"/>
      <c r="K556" s="162">
        <f>IF(AND(A556="",D556="",G556="",H556=""),"",IF(AND(OR(A556&lt;&gt;"",D556&lt;&gt;""),G556=""),"⏳ PENDENTE (falta qtd. apresentada)",IF(AND(G556&lt;&gt;"",OR(A556="",D556="")),"❌ FALTA Nº RECEBIMENTO/ESCOLA",IF(B556="Nº INVÁLIDO","❌ Nº DE RECEBIMENTO INVÁLIDO",IF(E556="CÓDIGO INVÁLIDO","❌ CÓDIGO DE ESCOLA INVÁLIDO",IF(H556&gt;G556,"❌ REJEITADO MAIOR QUE APRESENTADO",IF(AND(A556&lt;&gt;"",SUMIF($A$60:$A$559,A556,$G$60:$G$559)&gt;INDEX($G$7:$G$56,MATCH(A556,$A$7:$A$56,0))+0.01),"❌ DISTRIBUÍDO MAIS QUE O ACEITO NESSE RECEBIMENTO","OK")))))))</f>
        <v/>
      </c>
      <c r="L556" s="389">
        <f>IF(A556="","",ROW()-59)</f>
        <v/>
      </c>
    </row>
    <row r="557" hidden="1" outlineLevel="1" s="163">
      <c r="A557" s="380" t="n"/>
      <c r="B557" s="372">
        <f>IF(A557="","",IFERROR(INDEX($C$7:$C$56,MATCH(A557,$A$7:$A$56,0)),"Nº INVÁLIDO"))</f>
        <v/>
      </c>
      <c r="C557" s="372">
        <f>IF(A557="","",IFERROR(INDEX($D$7:$D$56,MATCH(A557,$A$7:$A$56,0)),"Nº INVÁLIDO"))</f>
        <v/>
      </c>
      <c r="D557" s="380" t="n"/>
      <c r="E557" s="381">
        <f>IF(D557="","",IFERROR(INDEX('Entrada de Dados'!$B$6:$B$196,MATCH(D557,'Entrada de Dados'!$A$6:$A$196,0)),"CÓDIGO INVÁLIDO"))</f>
        <v/>
      </c>
      <c r="F557" s="373" t="n"/>
      <c r="G557" s="375" t="n"/>
      <c r="H557" s="375" t="n"/>
      <c r="I557" s="376">
        <f>IF(G557="",0,MAX(G557-H557,0))</f>
        <v/>
      </c>
      <c r="J557" s="380" t="n"/>
      <c r="K557" s="162">
        <f>IF(AND(A557="",D557="",G557="",H557=""),"",IF(AND(OR(A557&lt;&gt;"",D557&lt;&gt;""),G557=""),"⏳ PENDENTE (falta qtd. apresentada)",IF(AND(G557&lt;&gt;"",OR(A557="",D557="")),"❌ FALTA Nº RECEBIMENTO/ESCOLA",IF(B557="Nº INVÁLIDO","❌ Nº DE RECEBIMENTO INVÁLIDO",IF(E557="CÓDIGO INVÁLIDO","❌ CÓDIGO DE ESCOLA INVÁLIDO",IF(H557&gt;G557,"❌ REJEITADO MAIOR QUE APRESENTADO",IF(AND(A557&lt;&gt;"",SUMIF($A$60:$A$559,A557,$G$60:$G$559)&gt;INDEX($G$7:$G$56,MATCH(A557,$A$7:$A$56,0))+0.01),"❌ DISTRIBUÍDO MAIS QUE O ACEITO NESSE RECEBIMENTO","OK")))))))</f>
        <v/>
      </c>
      <c r="L557" s="389">
        <f>IF(A557="","",ROW()-59)</f>
        <v/>
      </c>
    </row>
    <row r="558" hidden="1" outlineLevel="1" s="163">
      <c r="A558" s="380" t="n"/>
      <c r="B558" s="372">
        <f>IF(A558="","",IFERROR(INDEX($C$7:$C$56,MATCH(A558,$A$7:$A$56,0)),"Nº INVÁLIDO"))</f>
        <v/>
      </c>
      <c r="C558" s="372">
        <f>IF(A558="","",IFERROR(INDEX($D$7:$D$56,MATCH(A558,$A$7:$A$56,0)),"Nº INVÁLIDO"))</f>
        <v/>
      </c>
      <c r="D558" s="380" t="n"/>
      <c r="E558" s="381">
        <f>IF(D558="","",IFERROR(INDEX('Entrada de Dados'!$B$6:$B$196,MATCH(D558,'Entrada de Dados'!$A$6:$A$196,0)),"CÓDIGO INVÁLIDO"))</f>
        <v/>
      </c>
      <c r="F558" s="373" t="n"/>
      <c r="G558" s="375" t="n"/>
      <c r="H558" s="375" t="n"/>
      <c r="I558" s="376">
        <f>IF(G558="",0,MAX(G558-H558,0))</f>
        <v/>
      </c>
      <c r="J558" s="380" t="n"/>
      <c r="K558" s="162">
        <f>IF(AND(A558="",D558="",G558="",H558=""),"",IF(AND(OR(A558&lt;&gt;"",D558&lt;&gt;""),G558=""),"⏳ PENDENTE (falta qtd. apresentada)",IF(AND(G558&lt;&gt;"",OR(A558="",D558="")),"❌ FALTA Nº RECEBIMENTO/ESCOLA",IF(B558="Nº INVÁLIDO","❌ Nº DE RECEBIMENTO INVÁLIDO",IF(E558="CÓDIGO INVÁLIDO","❌ CÓDIGO DE ESCOLA INVÁLIDO",IF(H558&gt;G558,"❌ REJEITADO MAIOR QUE APRESENTADO",IF(AND(A558&lt;&gt;"",SUMIF($A$60:$A$559,A558,$G$60:$G$559)&gt;INDEX($G$7:$G$56,MATCH(A558,$A$7:$A$56,0))+0.01),"❌ DISTRIBUÍDO MAIS QUE O ACEITO NESSE RECEBIMENTO","OK")))))))</f>
        <v/>
      </c>
      <c r="L558" s="389">
        <f>IF(A558="","",ROW()-59)</f>
        <v/>
      </c>
    </row>
    <row r="559" hidden="1" outlineLevel="1" s="163">
      <c r="A559" s="380" t="n"/>
      <c r="B559" s="372">
        <f>IF(A559="","",IFERROR(INDEX($C$7:$C$56,MATCH(A559,$A$7:$A$56,0)),"Nº INVÁLIDO"))</f>
        <v/>
      </c>
      <c r="C559" s="372">
        <f>IF(A559="","",IFERROR(INDEX($D$7:$D$56,MATCH(A559,$A$7:$A$56,0)),"Nº INVÁLIDO"))</f>
        <v/>
      </c>
      <c r="D559" s="380" t="n"/>
      <c r="E559" s="381">
        <f>IF(D559="","",IFERROR(INDEX('Entrada de Dados'!$B$6:$B$196,MATCH(D559,'Entrada de Dados'!$A$6:$A$196,0)),"CÓDIGO INVÁLIDO"))</f>
        <v/>
      </c>
      <c r="F559" s="373" t="n"/>
      <c r="G559" s="375" t="n"/>
      <c r="H559" s="375" t="n"/>
      <c r="I559" s="376">
        <f>IF(G559="",0,MAX(G559-H559,0))</f>
        <v/>
      </c>
      <c r="J559" s="380" t="n"/>
      <c r="K559" s="162">
        <f>IF(AND(A559="",D559="",G559="",H559=""),"",IF(AND(OR(A559&lt;&gt;"",D559&lt;&gt;""),G559=""),"⏳ PENDENTE (falta qtd. apresentada)",IF(AND(G559&lt;&gt;"",OR(A559="",D559="")),"❌ FALTA Nº RECEBIMENTO/ESCOLA",IF(B559="Nº INVÁLIDO","❌ Nº DE RECEBIMENTO INVÁLIDO",IF(E559="CÓDIGO INVÁLIDO","❌ CÓDIGO DE ESCOLA INVÁLIDO",IF(H559&gt;G559,"❌ REJEITADO MAIOR QUE APRESENTADO",IF(AND(A559&lt;&gt;"",SUMIF($A$60:$A$559,A559,$G$60:$G$559)&gt;INDEX($G$7:$G$56,MATCH(A559,$A$7:$A$56,0))+0.01),"❌ DISTRIBUÍDO MAIS QUE O ACEITO NESSE RECEBIMENTO","OK")))))))</f>
        <v/>
      </c>
      <c r="L559" s="389">
        <f>IF(A559="","",ROW()-59)</f>
        <v/>
      </c>
    </row>
  </sheetData>
  <sheetProtection selectLockedCells="0" selectUnlockedCells="0" sheet="1" objects="0" insertRows="1" insertHyperlinks="1" autoFilter="1" scenarios="0" formatColumns="1" deleteColumns="1" insertColumns="1" pivotTables="1" deleteRows="1" formatCells="1" formatRows="1" sort="1"/>
  <mergeCells count="28">
    <mergeCell ref="M11:O11"/>
    <mergeCell ref="A58:K58"/>
    <mergeCell ref="M10:O10"/>
    <mergeCell ref="M13:O13"/>
    <mergeCell ref="P10:T10"/>
    <mergeCell ref="M5:N5"/>
    <mergeCell ref="M16:O16"/>
    <mergeCell ref="M12:O12"/>
    <mergeCell ref="P9:T9"/>
    <mergeCell ref="M15:O15"/>
    <mergeCell ref="M1:T1"/>
    <mergeCell ref="M20:T20"/>
    <mergeCell ref="M2:T2"/>
    <mergeCell ref="P11:T11"/>
    <mergeCell ref="M17:O17"/>
    <mergeCell ref="M14:O14"/>
    <mergeCell ref="M7:T7"/>
    <mergeCell ref="P17:T17"/>
    <mergeCell ref="M6:T6"/>
    <mergeCell ref="P16:T16"/>
    <mergeCell ref="P13:T13"/>
    <mergeCell ref="P12:T12"/>
    <mergeCell ref="M9:O9"/>
    <mergeCell ref="P15:T15"/>
    <mergeCell ref="A57:J57"/>
    <mergeCell ref="M19:T19"/>
    <mergeCell ref="P14:T14"/>
    <mergeCell ref="M4:N4"/>
  </mergeCells>
  <dataValidations count="2203">
    <dataValidation sqref="C7"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7" showDropDown="0" showInputMessage="0" showErrorMessage="1" allowBlank="1" errorTitle="Produto não reconhecido" error="Escolha um produto da lista oficial." type="list">
      <formula1>='Entrada de Dados'!$C$5:$U$5</formula1>
    </dataValidation>
    <dataValidation sqref="E7" showDropDown="0" showInputMessage="0" showErrorMessage="1" allowBlank="1" errorTitle="Inválido" error="Não pode ser negativo." type="decimal" errorStyle="stop" operator="greaterThanOrEqual">
      <formula1>0</formula1>
    </dataValidation>
    <dataValidation sqref="F7" showDropDown="0" showInputMessage="0" showErrorMessage="1" allowBlank="1" errorTitle="Rejeição maior que o recebido" error="A rejeição não pode ser maior que a quantidade recebida." type="custom" errorStyle="stop">
      <formula1>AND(F7&gt;=0,F7&lt;=E7)</formula1>
    </dataValidation>
    <dataValidation sqref="C8"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8" showDropDown="0" showInputMessage="0" showErrorMessage="1" allowBlank="1" errorTitle="Produto não reconhecido" error="Escolha um produto da lista oficial." type="list">
      <formula1>='Entrada de Dados'!$C$5:$U$5</formula1>
    </dataValidation>
    <dataValidation sqref="E8" showDropDown="0" showInputMessage="0" showErrorMessage="1" allowBlank="1" errorTitle="Inválido" error="Não pode ser negativo." type="decimal" errorStyle="stop" operator="greaterThanOrEqual">
      <formula1>0</formula1>
    </dataValidation>
    <dataValidation sqref="F8" showDropDown="0" showInputMessage="0" showErrorMessage="1" allowBlank="1" errorTitle="Rejeição maior que o recebido" error="A rejeição não pode ser maior que a quantidade recebida." type="custom" errorStyle="stop">
      <formula1>AND(F8&gt;=0,F8&lt;=E8)</formula1>
    </dataValidation>
    <dataValidation sqref="C9"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9" showDropDown="0" showInputMessage="0" showErrorMessage="1" allowBlank="1" errorTitle="Produto não reconhecido" error="Escolha um produto da lista oficial." type="list">
      <formula1>='Entrada de Dados'!$C$5:$U$5</formula1>
    </dataValidation>
    <dataValidation sqref="E9" showDropDown="0" showInputMessage="0" showErrorMessage="1" allowBlank="1" errorTitle="Inválido" error="Não pode ser negativo." type="decimal" errorStyle="stop" operator="greaterThanOrEqual">
      <formula1>0</formula1>
    </dataValidation>
    <dataValidation sqref="F9" showDropDown="0" showInputMessage="0" showErrorMessage="1" allowBlank="1" errorTitle="Rejeição maior que o recebido" error="A rejeição não pode ser maior que a quantidade recebida." type="custom" errorStyle="stop">
      <formula1>AND(F9&gt;=0,F9&lt;=E9)</formula1>
    </dataValidation>
    <dataValidation sqref="C10"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0" showDropDown="0" showInputMessage="0" showErrorMessage="1" allowBlank="1" errorTitle="Produto não reconhecido" error="Escolha um produto da lista oficial." type="list">
      <formula1>='Entrada de Dados'!$C$5:$U$5</formula1>
    </dataValidation>
    <dataValidation sqref="E10" showDropDown="0" showInputMessage="0" showErrorMessage="1" allowBlank="1" errorTitle="Inválido" error="Não pode ser negativo." type="decimal" errorStyle="stop" operator="greaterThanOrEqual">
      <formula1>0</formula1>
    </dataValidation>
    <dataValidation sqref="F10" showDropDown="0" showInputMessage="0" showErrorMessage="1" allowBlank="1" errorTitle="Rejeição maior que o recebido" error="A rejeição não pode ser maior que a quantidade recebida." type="custom" errorStyle="stop">
      <formula1>AND(F10&gt;=0,F10&lt;=E10)</formula1>
    </dataValidation>
    <dataValidation sqref="C11"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1" showDropDown="0" showInputMessage="0" showErrorMessage="1" allowBlank="1" errorTitle="Produto não reconhecido" error="Escolha um produto da lista oficial." type="list">
      <formula1>='Entrada de Dados'!$C$5:$U$5</formula1>
    </dataValidation>
    <dataValidation sqref="E11" showDropDown="0" showInputMessage="0" showErrorMessage="1" allowBlank="1" errorTitle="Inválido" error="Não pode ser negativo." type="decimal" errorStyle="stop" operator="greaterThanOrEqual">
      <formula1>0</formula1>
    </dataValidation>
    <dataValidation sqref="F11" showDropDown="0" showInputMessage="0" showErrorMessage="1" allowBlank="1" errorTitle="Rejeição maior que o recebido" error="A rejeição não pode ser maior que a quantidade recebida." type="custom" errorStyle="stop">
      <formula1>AND(F11&gt;=0,F11&lt;=E11)</formula1>
    </dataValidation>
    <dataValidation sqref="C12"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2" showDropDown="0" showInputMessage="0" showErrorMessage="1" allowBlank="1" errorTitle="Produto não reconhecido" error="Escolha um produto da lista oficial." type="list">
      <formula1>='Entrada de Dados'!$C$5:$U$5</formula1>
    </dataValidation>
    <dataValidation sqref="E12" showDropDown="0" showInputMessage="0" showErrorMessage="1" allowBlank="1" errorTitle="Inválido" error="Não pode ser negativo." type="decimal" errorStyle="stop" operator="greaterThanOrEqual">
      <formula1>0</formula1>
    </dataValidation>
    <dataValidation sqref="F12" showDropDown="0" showInputMessage="0" showErrorMessage="1" allowBlank="1" errorTitle="Rejeição maior que o recebido" error="A rejeição não pode ser maior que a quantidade recebida." type="custom" errorStyle="stop">
      <formula1>AND(F12&gt;=0,F12&lt;=E12)</formula1>
    </dataValidation>
    <dataValidation sqref="C13"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3" showDropDown="0" showInputMessage="0" showErrorMessage="1" allowBlank="1" errorTitle="Produto não reconhecido" error="Escolha um produto da lista oficial." type="list">
      <formula1>='Entrada de Dados'!$C$5:$U$5</formula1>
    </dataValidation>
    <dataValidation sqref="E13" showDropDown="0" showInputMessage="0" showErrorMessage="1" allowBlank="1" errorTitle="Inválido" error="Não pode ser negativo." type="decimal" errorStyle="stop" operator="greaterThanOrEqual">
      <formula1>0</formula1>
    </dataValidation>
    <dataValidation sqref="F13" showDropDown="0" showInputMessage="0" showErrorMessage="1" allowBlank="1" errorTitle="Rejeição maior que o recebido" error="A rejeição não pode ser maior que a quantidade recebida." type="custom" errorStyle="stop">
      <formula1>AND(F13&gt;=0,F13&lt;=E13)</formula1>
    </dataValidation>
    <dataValidation sqref="C14"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4" showDropDown="0" showInputMessage="0" showErrorMessage="1" allowBlank="1" errorTitle="Produto não reconhecido" error="Escolha um produto da lista oficial." type="list">
      <formula1>='Entrada de Dados'!$C$5:$U$5</formula1>
    </dataValidation>
    <dataValidation sqref="E14" showDropDown="0" showInputMessage="0" showErrorMessage="1" allowBlank="1" errorTitle="Inválido" error="Não pode ser negativo." type="decimal" errorStyle="stop" operator="greaterThanOrEqual">
      <formula1>0</formula1>
    </dataValidation>
    <dataValidation sqref="F14" showDropDown="0" showInputMessage="0" showErrorMessage="1" allowBlank="1" errorTitle="Rejeição maior que o recebido" error="A rejeição não pode ser maior que a quantidade recebida." type="custom" errorStyle="stop">
      <formula1>AND(F14&gt;=0,F14&lt;=E14)</formula1>
    </dataValidation>
    <dataValidation sqref="C15"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5" showDropDown="0" showInputMessage="0" showErrorMessage="1" allowBlank="1" errorTitle="Produto não reconhecido" error="Escolha um produto da lista oficial." type="list">
      <formula1>='Entrada de Dados'!$C$5:$U$5</formula1>
    </dataValidation>
    <dataValidation sqref="E15" showDropDown="0" showInputMessage="0" showErrorMessage="1" allowBlank="1" errorTitle="Inválido" error="Não pode ser negativo." type="decimal" errorStyle="stop" operator="greaterThanOrEqual">
      <formula1>0</formula1>
    </dataValidation>
    <dataValidation sqref="F15" showDropDown="0" showInputMessage="0" showErrorMessage="1" allowBlank="1" errorTitle="Rejeição maior que o recebido" error="A rejeição não pode ser maior que a quantidade recebida." type="custom" errorStyle="stop">
      <formula1>AND(F15&gt;=0,F15&lt;=E15)</formula1>
    </dataValidation>
    <dataValidation sqref="C16"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6" showDropDown="0" showInputMessage="0" showErrorMessage="1" allowBlank="1" errorTitle="Produto não reconhecido" error="Escolha um produto da lista oficial." type="list">
      <formula1>='Entrada de Dados'!$C$5:$U$5</formula1>
    </dataValidation>
    <dataValidation sqref="E16" showDropDown="0" showInputMessage="0" showErrorMessage="1" allowBlank="1" errorTitle="Inválido" error="Não pode ser negativo." type="decimal" errorStyle="stop" operator="greaterThanOrEqual">
      <formula1>0</formula1>
    </dataValidation>
    <dataValidation sqref="F16" showDropDown="0" showInputMessage="0" showErrorMessage="1" allowBlank="1" errorTitle="Rejeição maior que o recebido" error="A rejeição não pode ser maior que a quantidade recebida." type="custom" errorStyle="stop">
      <formula1>AND(F16&gt;=0,F16&lt;=E16)</formula1>
    </dataValidation>
    <dataValidation sqref="C17"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7" showDropDown="0" showInputMessage="0" showErrorMessage="1" allowBlank="1" errorTitle="Produto não reconhecido" error="Escolha um produto da lista oficial." type="list">
      <formula1>='Entrada de Dados'!$C$5:$U$5</formula1>
    </dataValidation>
    <dataValidation sqref="E17" showDropDown="0" showInputMessage="0" showErrorMessage="1" allowBlank="1" errorTitle="Inválido" error="Não pode ser negativo." type="decimal" errorStyle="stop" operator="greaterThanOrEqual">
      <formula1>0</formula1>
    </dataValidation>
    <dataValidation sqref="F17" showDropDown="0" showInputMessage="0" showErrorMessage="1" allowBlank="1" errorTitle="Rejeição maior que o recebido" error="A rejeição não pode ser maior que a quantidade recebida." type="custom" errorStyle="stop">
      <formula1>AND(F17&gt;=0,F17&lt;=E17)</formula1>
    </dataValidation>
    <dataValidation sqref="C18"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8" showDropDown="0" showInputMessage="0" showErrorMessage="1" allowBlank="1" errorTitle="Produto não reconhecido" error="Escolha um produto da lista oficial." type="list">
      <formula1>='Entrada de Dados'!$C$5:$U$5</formula1>
    </dataValidation>
    <dataValidation sqref="E18" showDropDown="0" showInputMessage="0" showErrorMessage="1" allowBlank="1" errorTitle="Inválido" error="Não pode ser negativo." type="decimal" errorStyle="stop" operator="greaterThanOrEqual">
      <formula1>0</formula1>
    </dataValidation>
    <dataValidation sqref="F18" showDropDown="0" showInputMessage="0" showErrorMessage="1" allowBlank="1" errorTitle="Rejeição maior que o recebido" error="A rejeição não pode ser maior que a quantidade recebida." type="custom" errorStyle="stop">
      <formula1>AND(F18&gt;=0,F18&lt;=E18)</formula1>
    </dataValidation>
    <dataValidation sqref="C19"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19" showDropDown="0" showInputMessage="0" showErrorMessage="1" allowBlank="1" errorTitle="Produto não reconhecido" error="Escolha um produto da lista oficial." type="list">
      <formula1>='Entrada de Dados'!$C$5:$U$5</formula1>
    </dataValidation>
    <dataValidation sqref="E19" showDropDown="0" showInputMessage="0" showErrorMessage="1" allowBlank="1" errorTitle="Inválido" error="Não pode ser negativo." type="decimal" errorStyle="stop" operator="greaterThanOrEqual">
      <formula1>0</formula1>
    </dataValidation>
    <dataValidation sqref="F19" showDropDown="0" showInputMessage="0" showErrorMessage="1" allowBlank="1" errorTitle="Rejeição maior que o recebido" error="A rejeição não pode ser maior que a quantidade recebida." type="custom" errorStyle="stop">
      <formula1>AND(F19&gt;=0,F19&lt;=E19)</formula1>
    </dataValidation>
    <dataValidation sqref="C20"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0" showDropDown="0" showInputMessage="0" showErrorMessage="1" allowBlank="1" errorTitle="Produto não reconhecido" error="Escolha um produto da lista oficial." type="list">
      <formula1>='Entrada de Dados'!$C$5:$U$5</formula1>
    </dataValidation>
    <dataValidation sqref="E20" showDropDown="0" showInputMessage="0" showErrorMessage="1" allowBlank="1" errorTitle="Inválido" error="Não pode ser negativo." type="decimal" errorStyle="stop" operator="greaterThanOrEqual">
      <formula1>0</formula1>
    </dataValidation>
    <dataValidation sqref="F20" showDropDown="0" showInputMessage="0" showErrorMessage="1" allowBlank="1" errorTitle="Rejeição maior que o recebido" error="A rejeição não pode ser maior que a quantidade recebida." type="custom" errorStyle="stop">
      <formula1>AND(F20&gt;=0,F20&lt;=E20)</formula1>
    </dataValidation>
    <dataValidation sqref="C21"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1" showDropDown="0" showInputMessage="0" showErrorMessage="1" allowBlank="1" errorTitle="Produto não reconhecido" error="Escolha um produto da lista oficial." type="list">
      <formula1>='Entrada de Dados'!$C$5:$U$5</formula1>
    </dataValidation>
    <dataValidation sqref="E21" showDropDown="0" showInputMessage="0" showErrorMessage="1" allowBlank="1" errorTitle="Inválido" error="Não pode ser negativo." type="decimal" errorStyle="stop" operator="greaterThanOrEqual">
      <formula1>0</formula1>
    </dataValidation>
    <dataValidation sqref="F21" showDropDown="0" showInputMessage="0" showErrorMessage="1" allowBlank="1" errorTitle="Rejeição maior que o recebido" error="A rejeição não pode ser maior que a quantidade recebida." type="custom" errorStyle="stop">
      <formula1>AND(F21&gt;=0,F21&lt;=E21)</formula1>
    </dataValidation>
    <dataValidation sqref="C22"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2" showDropDown="0" showInputMessage="0" showErrorMessage="1" allowBlank="1" errorTitle="Produto não reconhecido" error="Escolha um produto da lista oficial." type="list">
      <formula1>='Entrada de Dados'!$C$5:$U$5</formula1>
    </dataValidation>
    <dataValidation sqref="E22" showDropDown="0" showInputMessage="0" showErrorMessage="1" allowBlank="1" errorTitle="Inválido" error="Não pode ser negativo." type="decimal" errorStyle="stop" operator="greaterThanOrEqual">
      <formula1>0</formula1>
    </dataValidation>
    <dataValidation sqref="F22" showDropDown="0" showInputMessage="0" showErrorMessage="1" allowBlank="1" errorTitle="Rejeição maior que o recebido" error="A rejeição não pode ser maior que a quantidade recebida." type="custom" errorStyle="stop">
      <formula1>AND(F22&gt;=0,F22&lt;=E22)</formula1>
    </dataValidation>
    <dataValidation sqref="C23"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3" showDropDown="0" showInputMessage="0" showErrorMessage="1" allowBlank="1" errorTitle="Produto não reconhecido" error="Escolha um produto da lista oficial." type="list">
      <formula1>='Entrada de Dados'!$C$5:$U$5</formula1>
    </dataValidation>
    <dataValidation sqref="E23" showDropDown="0" showInputMessage="0" showErrorMessage="1" allowBlank="1" errorTitle="Inválido" error="Não pode ser negativo." type="decimal" errorStyle="stop" operator="greaterThanOrEqual">
      <formula1>0</formula1>
    </dataValidation>
    <dataValidation sqref="F23" showDropDown="0" showInputMessage="0" showErrorMessage="1" allowBlank="1" errorTitle="Rejeição maior que o recebido" error="A rejeição não pode ser maior que a quantidade recebida." type="custom" errorStyle="stop">
      <formula1>AND(F23&gt;=0,F23&lt;=E23)</formula1>
    </dataValidation>
    <dataValidation sqref="C24"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4" showDropDown="0" showInputMessage="0" showErrorMessage="1" allowBlank="1" errorTitle="Produto não reconhecido" error="Escolha um produto da lista oficial." type="list">
      <formula1>='Entrada de Dados'!$C$5:$U$5</formula1>
    </dataValidation>
    <dataValidation sqref="E24" showDropDown="0" showInputMessage="0" showErrorMessage="1" allowBlank="1" errorTitle="Inválido" error="Não pode ser negativo." type="decimal" errorStyle="stop" operator="greaterThanOrEqual">
      <formula1>0</formula1>
    </dataValidation>
    <dataValidation sqref="F24" showDropDown="0" showInputMessage="0" showErrorMessage="1" allowBlank="1" errorTitle="Rejeição maior que o recebido" error="A rejeição não pode ser maior que a quantidade recebida." type="custom" errorStyle="stop">
      <formula1>AND(F24&gt;=0,F24&lt;=E24)</formula1>
    </dataValidation>
    <dataValidation sqref="C25"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5" showDropDown="0" showInputMessage="0" showErrorMessage="1" allowBlank="1" errorTitle="Produto não reconhecido" error="Escolha um produto da lista oficial." type="list">
      <formula1>='Entrada de Dados'!$C$5:$U$5</formula1>
    </dataValidation>
    <dataValidation sqref="E25" showDropDown="0" showInputMessage="0" showErrorMessage="1" allowBlank="1" errorTitle="Inválido" error="Não pode ser negativo." type="decimal" errorStyle="stop" operator="greaterThanOrEqual">
      <formula1>0</formula1>
    </dataValidation>
    <dataValidation sqref="F25" showDropDown="0" showInputMessage="0" showErrorMessage="1" allowBlank="1" errorTitle="Rejeição maior que o recebido" error="A rejeição não pode ser maior que a quantidade recebida." type="custom" errorStyle="stop">
      <formula1>AND(F25&gt;=0,F25&lt;=E25)</formula1>
    </dataValidation>
    <dataValidation sqref="C26"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6" showDropDown="0" showInputMessage="0" showErrorMessage="1" allowBlank="1" errorTitle="Produto não reconhecido" error="Escolha um produto da lista oficial." type="list">
      <formula1>='Entrada de Dados'!$C$5:$U$5</formula1>
    </dataValidation>
    <dataValidation sqref="E26" showDropDown="0" showInputMessage="0" showErrorMessage="1" allowBlank="1" errorTitle="Inválido" error="Não pode ser negativo." type="decimal" errorStyle="stop" operator="greaterThanOrEqual">
      <formula1>0</formula1>
    </dataValidation>
    <dataValidation sqref="F26" showDropDown="0" showInputMessage="0" showErrorMessage="1" allowBlank="1" errorTitle="Rejeição maior que o recebido" error="A rejeição não pode ser maior que a quantidade recebida." type="custom" errorStyle="stop">
      <formula1>AND(F26&gt;=0,F26&lt;=E26)</formula1>
    </dataValidation>
    <dataValidation sqref="C27"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7" showDropDown="0" showInputMessage="0" showErrorMessage="1" allowBlank="1" errorTitle="Produto não reconhecido" error="Escolha um produto da lista oficial." type="list">
      <formula1>='Entrada de Dados'!$C$5:$U$5</formula1>
    </dataValidation>
    <dataValidation sqref="E27" showDropDown="0" showInputMessage="0" showErrorMessage="1" allowBlank="1" errorTitle="Inválido" error="Não pode ser negativo." type="decimal" errorStyle="stop" operator="greaterThanOrEqual">
      <formula1>0</formula1>
    </dataValidation>
    <dataValidation sqref="F27" showDropDown="0" showInputMessage="0" showErrorMessage="1" allowBlank="1" errorTitle="Rejeição maior que o recebido" error="A rejeição não pode ser maior que a quantidade recebida." type="custom" errorStyle="stop">
      <formula1>AND(F27&gt;=0,F27&lt;=E27)</formula1>
    </dataValidation>
    <dataValidation sqref="C28"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8" showDropDown="0" showInputMessage="0" showErrorMessage="1" allowBlank="1" errorTitle="Produto não reconhecido" error="Escolha um produto da lista oficial." type="list">
      <formula1>='Entrada de Dados'!$C$5:$U$5</formula1>
    </dataValidation>
    <dataValidation sqref="E28" showDropDown="0" showInputMessage="0" showErrorMessage="1" allowBlank="1" errorTitle="Inválido" error="Não pode ser negativo." type="decimal" errorStyle="stop" operator="greaterThanOrEqual">
      <formula1>0</formula1>
    </dataValidation>
    <dataValidation sqref="F28" showDropDown="0" showInputMessage="0" showErrorMessage="1" allowBlank="1" errorTitle="Rejeição maior que o recebido" error="A rejeição não pode ser maior que a quantidade recebida." type="custom" errorStyle="stop">
      <formula1>AND(F28&gt;=0,F28&lt;=E28)</formula1>
    </dataValidation>
    <dataValidation sqref="C29"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29" showDropDown="0" showInputMessage="0" showErrorMessage="1" allowBlank="1" errorTitle="Produto não reconhecido" error="Escolha um produto da lista oficial." type="list">
      <formula1>='Entrada de Dados'!$C$5:$U$5</formula1>
    </dataValidation>
    <dataValidation sqref="E29" showDropDown="0" showInputMessage="0" showErrorMessage="1" allowBlank="1" errorTitle="Inválido" error="Não pode ser negativo." type="decimal" errorStyle="stop" operator="greaterThanOrEqual">
      <formula1>0</formula1>
    </dataValidation>
    <dataValidation sqref="F29" showDropDown="0" showInputMessage="0" showErrorMessage="1" allowBlank="1" errorTitle="Rejeição maior que o recebido" error="A rejeição não pode ser maior que a quantidade recebida." type="custom" errorStyle="stop">
      <formula1>AND(F29&gt;=0,F29&lt;=E29)</formula1>
    </dataValidation>
    <dataValidation sqref="C30"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0" showDropDown="0" showInputMessage="0" showErrorMessage="1" allowBlank="1" errorTitle="Produto não reconhecido" error="Escolha um produto da lista oficial." type="list">
      <formula1>='Entrada de Dados'!$C$5:$U$5</formula1>
    </dataValidation>
    <dataValidation sqref="E30" showDropDown="0" showInputMessage="0" showErrorMessage="1" allowBlank="1" errorTitle="Inválido" error="Não pode ser negativo." type="decimal" errorStyle="stop" operator="greaterThanOrEqual">
      <formula1>0</formula1>
    </dataValidation>
    <dataValidation sqref="F30" showDropDown="0" showInputMessage="0" showErrorMessage="1" allowBlank="1" errorTitle="Rejeição maior que o recebido" error="A rejeição não pode ser maior que a quantidade recebida." type="custom" errorStyle="stop">
      <formula1>AND(F30&gt;=0,F30&lt;=E30)</formula1>
    </dataValidation>
    <dataValidation sqref="C31"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1" showDropDown="0" showInputMessage="0" showErrorMessage="1" allowBlank="1" errorTitle="Produto não reconhecido" error="Escolha um produto da lista oficial." type="list">
      <formula1>='Entrada de Dados'!$C$5:$U$5</formula1>
    </dataValidation>
    <dataValidation sqref="E31" showDropDown="0" showInputMessage="0" showErrorMessage="1" allowBlank="1" errorTitle="Inválido" error="Não pode ser negativo." type="decimal" errorStyle="stop" operator="greaterThanOrEqual">
      <formula1>0</formula1>
    </dataValidation>
    <dataValidation sqref="F31" showDropDown="0" showInputMessage="0" showErrorMessage="1" allowBlank="1" errorTitle="Rejeição maior que o recebido" error="A rejeição não pode ser maior que a quantidade recebida." type="custom" errorStyle="stop">
      <formula1>AND(F31&gt;=0,F31&lt;=E31)</formula1>
    </dataValidation>
    <dataValidation sqref="C32"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2" showDropDown="0" showInputMessage="0" showErrorMessage="1" allowBlank="1" errorTitle="Produto não reconhecido" error="Escolha um produto da lista oficial." type="list">
      <formula1>='Entrada de Dados'!$C$5:$U$5</formula1>
    </dataValidation>
    <dataValidation sqref="E32" showDropDown="0" showInputMessage="0" showErrorMessage="1" allowBlank="1" errorTitle="Inválido" error="Não pode ser negativo." type="decimal" errorStyle="stop" operator="greaterThanOrEqual">
      <formula1>0</formula1>
    </dataValidation>
    <dataValidation sqref="F32" showDropDown="0" showInputMessage="0" showErrorMessage="1" allowBlank="1" errorTitle="Rejeição maior que o recebido" error="A rejeição não pode ser maior que a quantidade recebida." type="custom" errorStyle="stop">
      <formula1>AND(F32&gt;=0,F32&lt;=E32)</formula1>
    </dataValidation>
    <dataValidation sqref="C33"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3" showDropDown="0" showInputMessage="0" showErrorMessage="1" allowBlank="1" errorTitle="Produto não reconhecido" error="Escolha um produto da lista oficial." type="list">
      <formula1>='Entrada de Dados'!$C$5:$U$5</formula1>
    </dataValidation>
    <dataValidation sqref="E33" showDropDown="0" showInputMessage="0" showErrorMessage="1" allowBlank="1" errorTitle="Inválido" error="Não pode ser negativo." type="decimal" errorStyle="stop" operator="greaterThanOrEqual">
      <formula1>0</formula1>
    </dataValidation>
    <dataValidation sqref="F33" showDropDown="0" showInputMessage="0" showErrorMessage="1" allowBlank="1" errorTitle="Rejeição maior que o recebido" error="A rejeição não pode ser maior que a quantidade recebida." type="custom" errorStyle="stop">
      <formula1>AND(F33&gt;=0,F33&lt;=E33)</formula1>
    </dataValidation>
    <dataValidation sqref="C34"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4" showDropDown="0" showInputMessage="0" showErrorMessage="1" allowBlank="1" errorTitle="Produto não reconhecido" error="Escolha um produto da lista oficial." type="list">
      <formula1>='Entrada de Dados'!$C$5:$U$5</formula1>
    </dataValidation>
    <dataValidation sqref="E34" showDropDown="0" showInputMessage="0" showErrorMessage="1" allowBlank="1" errorTitle="Inválido" error="Não pode ser negativo." type="decimal" errorStyle="stop" operator="greaterThanOrEqual">
      <formula1>0</formula1>
    </dataValidation>
    <dataValidation sqref="F34" showDropDown="0" showInputMessage="0" showErrorMessage="1" allowBlank="1" errorTitle="Rejeição maior que o recebido" error="A rejeição não pode ser maior que a quantidade recebida." type="custom" errorStyle="stop">
      <formula1>AND(F34&gt;=0,F34&lt;=E34)</formula1>
    </dataValidation>
    <dataValidation sqref="C35"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5" showDropDown="0" showInputMessage="0" showErrorMessage="1" allowBlank="1" errorTitle="Produto não reconhecido" error="Escolha um produto da lista oficial." type="list">
      <formula1>='Entrada de Dados'!$C$5:$U$5</formula1>
    </dataValidation>
    <dataValidation sqref="E35" showDropDown="0" showInputMessage="0" showErrorMessage="1" allowBlank="1" errorTitle="Inválido" error="Não pode ser negativo." type="decimal" errorStyle="stop" operator="greaterThanOrEqual">
      <formula1>0</formula1>
    </dataValidation>
    <dataValidation sqref="F35" showDropDown="0" showInputMessage="0" showErrorMessage="1" allowBlank="1" errorTitle="Rejeição maior que o recebido" error="A rejeição não pode ser maior que a quantidade recebida." type="custom" errorStyle="stop">
      <formula1>AND(F35&gt;=0,F35&lt;=E35)</formula1>
    </dataValidation>
    <dataValidation sqref="C36"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6" showDropDown="0" showInputMessage="0" showErrorMessage="1" allowBlank="1" errorTitle="Produto não reconhecido" error="Escolha um produto da lista oficial." type="list">
      <formula1>='Entrada de Dados'!$C$5:$U$5</formula1>
    </dataValidation>
    <dataValidation sqref="E36" showDropDown="0" showInputMessage="0" showErrorMessage="1" allowBlank="1" errorTitle="Inválido" error="Não pode ser negativo." type="decimal" errorStyle="stop" operator="greaterThanOrEqual">
      <formula1>0</formula1>
    </dataValidation>
    <dataValidation sqref="F36" showDropDown="0" showInputMessage="0" showErrorMessage="1" allowBlank="1" errorTitle="Rejeição maior que o recebido" error="A rejeição não pode ser maior que a quantidade recebida." type="custom" errorStyle="stop">
      <formula1>AND(F36&gt;=0,F36&lt;=E36)</formula1>
    </dataValidation>
    <dataValidation sqref="C37"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7" showDropDown="0" showInputMessage="0" showErrorMessage="1" allowBlank="1" errorTitle="Produto não reconhecido" error="Escolha um produto da lista oficial." type="list">
      <formula1>='Entrada de Dados'!$C$5:$U$5</formula1>
    </dataValidation>
    <dataValidation sqref="E37" showDropDown="0" showInputMessage="0" showErrorMessage="1" allowBlank="1" errorTitle="Inválido" error="Não pode ser negativo." type="decimal" errorStyle="stop" operator="greaterThanOrEqual">
      <formula1>0</formula1>
    </dataValidation>
    <dataValidation sqref="F37" showDropDown="0" showInputMessage="0" showErrorMessage="1" allowBlank="1" errorTitle="Rejeição maior que o recebido" error="A rejeição não pode ser maior que a quantidade recebida." type="custom" errorStyle="stop">
      <formula1>AND(F37&gt;=0,F37&lt;=E37)</formula1>
    </dataValidation>
    <dataValidation sqref="C38"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8" showDropDown="0" showInputMessage="0" showErrorMessage="1" allowBlank="1" errorTitle="Produto não reconhecido" error="Escolha um produto da lista oficial." type="list">
      <formula1>='Entrada de Dados'!$C$5:$U$5</formula1>
    </dataValidation>
    <dataValidation sqref="E38" showDropDown="0" showInputMessage="0" showErrorMessage="1" allowBlank="1" errorTitle="Inválido" error="Não pode ser negativo." type="decimal" errorStyle="stop" operator="greaterThanOrEqual">
      <formula1>0</formula1>
    </dataValidation>
    <dataValidation sqref="F38" showDropDown="0" showInputMessage="0" showErrorMessage="1" allowBlank="1" errorTitle="Rejeição maior que o recebido" error="A rejeição não pode ser maior que a quantidade recebida." type="custom" errorStyle="stop">
      <formula1>AND(F38&gt;=0,F38&lt;=E38)</formula1>
    </dataValidation>
    <dataValidation sqref="C39"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39" showDropDown="0" showInputMessage="0" showErrorMessage="1" allowBlank="1" errorTitle="Produto não reconhecido" error="Escolha um produto da lista oficial." type="list">
      <formula1>='Entrada de Dados'!$C$5:$U$5</formula1>
    </dataValidation>
    <dataValidation sqref="E39" showDropDown="0" showInputMessage="0" showErrorMessage="1" allowBlank="1" errorTitle="Inválido" error="Não pode ser negativo." type="decimal" errorStyle="stop" operator="greaterThanOrEqual">
      <formula1>0</formula1>
    </dataValidation>
    <dataValidation sqref="F39" showDropDown="0" showInputMessage="0" showErrorMessage="1" allowBlank="1" errorTitle="Rejeição maior que o recebido" error="A rejeição não pode ser maior que a quantidade recebida." type="custom" errorStyle="stop">
      <formula1>AND(F39&gt;=0,F39&lt;=E39)</formula1>
    </dataValidation>
    <dataValidation sqref="C40"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0" showDropDown="0" showInputMessage="0" showErrorMessage="1" allowBlank="1" errorTitle="Produto não reconhecido" error="Escolha um produto da lista oficial." type="list">
      <formula1>='Entrada de Dados'!$C$5:$U$5</formula1>
    </dataValidation>
    <dataValidation sqref="E40" showDropDown="0" showInputMessage="0" showErrorMessage="1" allowBlank="1" errorTitle="Inválido" error="Não pode ser negativo." type="decimal" errorStyle="stop" operator="greaterThanOrEqual">
      <formula1>0</formula1>
    </dataValidation>
    <dataValidation sqref="F40" showDropDown="0" showInputMessage="0" showErrorMessage="1" allowBlank="1" errorTitle="Rejeição maior que o recebido" error="A rejeição não pode ser maior que a quantidade recebida." type="custom" errorStyle="stop">
      <formula1>AND(F40&gt;=0,F40&lt;=E40)</formula1>
    </dataValidation>
    <dataValidation sqref="C41"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1" showDropDown="0" showInputMessage="0" showErrorMessage="1" allowBlank="1" errorTitle="Produto não reconhecido" error="Escolha um produto da lista oficial." type="list">
      <formula1>='Entrada de Dados'!$C$5:$U$5</formula1>
    </dataValidation>
    <dataValidation sqref="E41" showDropDown="0" showInputMessage="0" showErrorMessage="1" allowBlank="1" errorTitle="Inválido" error="Não pode ser negativo." type="decimal" errorStyle="stop" operator="greaterThanOrEqual">
      <formula1>0</formula1>
    </dataValidation>
    <dataValidation sqref="F41" showDropDown="0" showInputMessage="0" showErrorMessage="1" allowBlank="1" errorTitle="Rejeição maior que o recebido" error="A rejeição não pode ser maior que a quantidade recebida." type="custom" errorStyle="stop">
      <formula1>AND(F41&gt;=0,F41&lt;=E41)</formula1>
    </dataValidation>
    <dataValidation sqref="C42"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2" showDropDown="0" showInputMessage="0" showErrorMessage="1" allowBlank="1" errorTitle="Produto não reconhecido" error="Escolha um produto da lista oficial." type="list">
      <formula1>='Entrada de Dados'!$C$5:$U$5</formula1>
    </dataValidation>
    <dataValidation sqref="E42" showDropDown="0" showInputMessage="0" showErrorMessage="1" allowBlank="1" errorTitle="Inválido" error="Não pode ser negativo." type="decimal" errorStyle="stop" operator="greaterThanOrEqual">
      <formula1>0</formula1>
    </dataValidation>
    <dataValidation sqref="F42" showDropDown="0" showInputMessage="0" showErrorMessage="1" allowBlank="1" errorTitle="Rejeição maior que o recebido" error="A rejeição não pode ser maior que a quantidade recebida." type="custom" errorStyle="stop">
      <formula1>AND(F42&gt;=0,F42&lt;=E42)</formula1>
    </dataValidation>
    <dataValidation sqref="C43"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3" showDropDown="0" showInputMessage="0" showErrorMessage="1" allowBlank="1" errorTitle="Produto não reconhecido" error="Escolha um produto da lista oficial." type="list">
      <formula1>='Entrada de Dados'!$C$5:$U$5</formula1>
    </dataValidation>
    <dataValidation sqref="E43" showDropDown="0" showInputMessage="0" showErrorMessage="1" allowBlank="1" errorTitle="Inválido" error="Não pode ser negativo." type="decimal" errorStyle="stop" operator="greaterThanOrEqual">
      <formula1>0</formula1>
    </dataValidation>
    <dataValidation sqref="F43" showDropDown="0" showInputMessage="0" showErrorMessage="1" allowBlank="1" errorTitle="Rejeição maior que o recebido" error="A rejeição não pode ser maior que a quantidade recebida." type="custom" errorStyle="stop">
      <formula1>AND(F43&gt;=0,F43&lt;=E43)</formula1>
    </dataValidation>
    <dataValidation sqref="C44"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4" showDropDown="0" showInputMessage="0" showErrorMessage="1" allowBlank="1" errorTitle="Produto não reconhecido" error="Escolha um produto da lista oficial." type="list">
      <formula1>='Entrada de Dados'!$C$5:$U$5</formula1>
    </dataValidation>
    <dataValidation sqref="E44" showDropDown="0" showInputMessage="0" showErrorMessage="1" allowBlank="1" errorTitle="Inválido" error="Não pode ser negativo." type="decimal" errorStyle="stop" operator="greaterThanOrEqual">
      <formula1>0</formula1>
    </dataValidation>
    <dataValidation sqref="F44" showDropDown="0" showInputMessage="0" showErrorMessage="1" allowBlank="1" errorTitle="Rejeição maior que o recebido" error="A rejeição não pode ser maior que a quantidade recebida." type="custom" errorStyle="stop">
      <formula1>AND(F44&gt;=0,F44&lt;=E44)</formula1>
    </dataValidation>
    <dataValidation sqref="C45"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5" showDropDown="0" showInputMessage="0" showErrorMessage="1" allowBlank="1" errorTitle="Produto não reconhecido" error="Escolha um produto da lista oficial." type="list">
      <formula1>='Entrada de Dados'!$C$5:$U$5</formula1>
    </dataValidation>
    <dataValidation sqref="E45" showDropDown="0" showInputMessage="0" showErrorMessage="1" allowBlank="1" errorTitle="Inválido" error="Não pode ser negativo." type="decimal" errorStyle="stop" operator="greaterThanOrEqual">
      <formula1>0</formula1>
    </dataValidation>
    <dataValidation sqref="F45" showDropDown="0" showInputMessage="0" showErrorMessage="1" allowBlank="1" errorTitle="Rejeição maior que o recebido" error="A rejeição não pode ser maior que a quantidade recebida." type="custom" errorStyle="stop">
      <formula1>AND(F45&gt;=0,F45&lt;=E45)</formula1>
    </dataValidation>
    <dataValidation sqref="C46"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6" showDropDown="0" showInputMessage="0" showErrorMessage="1" allowBlank="1" errorTitle="Produto não reconhecido" error="Escolha um produto da lista oficial." type="list">
      <formula1>='Entrada de Dados'!$C$5:$U$5</formula1>
    </dataValidation>
    <dataValidation sqref="E46" showDropDown="0" showInputMessage="0" showErrorMessage="1" allowBlank="1" errorTitle="Inválido" error="Não pode ser negativo." type="decimal" errorStyle="stop" operator="greaterThanOrEqual">
      <formula1>0</formula1>
    </dataValidation>
    <dataValidation sqref="F46" showDropDown="0" showInputMessage="0" showErrorMessage="1" allowBlank="1" errorTitle="Rejeição maior que o recebido" error="A rejeição não pode ser maior que a quantidade recebida." type="custom" errorStyle="stop">
      <formula1>AND(F46&gt;=0,F46&lt;=E46)</formula1>
    </dataValidation>
    <dataValidation sqref="C47"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7" showDropDown="0" showInputMessage="0" showErrorMessage="1" allowBlank="1" errorTitle="Produto não reconhecido" error="Escolha um produto da lista oficial." type="list">
      <formula1>='Entrada de Dados'!$C$5:$U$5</formula1>
    </dataValidation>
    <dataValidation sqref="E47" showDropDown="0" showInputMessage="0" showErrorMessage="1" allowBlank="1" errorTitle="Inválido" error="Não pode ser negativo." type="decimal" errorStyle="stop" operator="greaterThanOrEqual">
      <formula1>0</formula1>
    </dataValidation>
    <dataValidation sqref="F47" showDropDown="0" showInputMessage="0" showErrorMessage="1" allowBlank="1" errorTitle="Rejeição maior que o recebido" error="A rejeição não pode ser maior que a quantidade recebida." type="custom" errorStyle="stop">
      <formula1>AND(F47&gt;=0,F47&lt;=E47)</formula1>
    </dataValidation>
    <dataValidation sqref="C48"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8" showDropDown="0" showInputMessage="0" showErrorMessage="1" allowBlank="1" errorTitle="Produto não reconhecido" error="Escolha um produto da lista oficial." type="list">
      <formula1>='Entrada de Dados'!$C$5:$U$5</formula1>
    </dataValidation>
    <dataValidation sqref="E48" showDropDown="0" showInputMessage="0" showErrorMessage="1" allowBlank="1" errorTitle="Inválido" error="Não pode ser negativo." type="decimal" errorStyle="stop" operator="greaterThanOrEqual">
      <formula1>0</formula1>
    </dataValidation>
    <dataValidation sqref="F48" showDropDown="0" showInputMessage="0" showErrorMessage="1" allowBlank="1" errorTitle="Rejeição maior que o recebido" error="A rejeição não pode ser maior que a quantidade recebida." type="custom" errorStyle="stop">
      <formula1>AND(F48&gt;=0,F48&lt;=E48)</formula1>
    </dataValidation>
    <dataValidation sqref="C49"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49" showDropDown="0" showInputMessage="0" showErrorMessage="1" allowBlank="1" errorTitle="Produto não reconhecido" error="Escolha um produto da lista oficial." type="list">
      <formula1>='Entrada de Dados'!$C$5:$U$5</formula1>
    </dataValidation>
    <dataValidation sqref="E49" showDropDown="0" showInputMessage="0" showErrorMessage="1" allowBlank="1" errorTitle="Inválido" error="Não pode ser negativo." type="decimal" errorStyle="stop" operator="greaterThanOrEqual">
      <formula1>0</formula1>
    </dataValidation>
    <dataValidation sqref="F49" showDropDown="0" showInputMessage="0" showErrorMessage="1" allowBlank="1" errorTitle="Rejeição maior que o recebido" error="A rejeição não pode ser maior que a quantidade recebida." type="custom" errorStyle="stop">
      <formula1>AND(F49&gt;=0,F49&lt;=E49)</formula1>
    </dataValidation>
    <dataValidation sqref="C50"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0" showDropDown="0" showInputMessage="0" showErrorMessage="1" allowBlank="1" errorTitle="Produto não reconhecido" error="Escolha um produto da lista oficial." type="list">
      <formula1>='Entrada de Dados'!$C$5:$U$5</formula1>
    </dataValidation>
    <dataValidation sqref="E50" showDropDown="0" showInputMessage="0" showErrorMessage="1" allowBlank="1" errorTitle="Inválido" error="Não pode ser negativo." type="decimal" errorStyle="stop" operator="greaterThanOrEqual">
      <formula1>0</formula1>
    </dataValidation>
    <dataValidation sqref="F50" showDropDown="0" showInputMessage="0" showErrorMessage="1" allowBlank="1" errorTitle="Rejeição maior que o recebido" error="A rejeição não pode ser maior que a quantidade recebida." type="custom" errorStyle="stop">
      <formula1>AND(F50&gt;=0,F50&lt;=E50)</formula1>
    </dataValidation>
    <dataValidation sqref="C51"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1" showDropDown="0" showInputMessage="0" showErrorMessage="1" allowBlank="1" errorTitle="Produto não reconhecido" error="Escolha um produto da lista oficial." type="list">
      <formula1>='Entrada de Dados'!$C$5:$U$5</formula1>
    </dataValidation>
    <dataValidation sqref="E51" showDropDown="0" showInputMessage="0" showErrorMessage="1" allowBlank="1" errorTitle="Inválido" error="Não pode ser negativo." type="decimal" errorStyle="stop" operator="greaterThanOrEqual">
      <formula1>0</formula1>
    </dataValidation>
    <dataValidation sqref="F51" showDropDown="0" showInputMessage="0" showErrorMessage="1" allowBlank="1" errorTitle="Rejeição maior que o recebido" error="A rejeição não pode ser maior que a quantidade recebida." type="custom" errorStyle="stop">
      <formula1>AND(F51&gt;=0,F51&lt;=E51)</formula1>
    </dataValidation>
    <dataValidation sqref="C52"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2" showDropDown="0" showInputMessage="0" showErrorMessage="1" allowBlank="1" errorTitle="Produto não reconhecido" error="Escolha um produto da lista oficial." type="list">
      <formula1>='Entrada de Dados'!$C$5:$U$5</formula1>
    </dataValidation>
    <dataValidation sqref="E52" showDropDown="0" showInputMessage="0" showErrorMessage="1" allowBlank="1" errorTitle="Inválido" error="Não pode ser negativo." type="decimal" errorStyle="stop" operator="greaterThanOrEqual">
      <formula1>0</formula1>
    </dataValidation>
    <dataValidation sqref="F52" showDropDown="0" showInputMessage="0" showErrorMessage="1" allowBlank="1" errorTitle="Rejeição maior que o recebido" error="A rejeição não pode ser maior que a quantidade recebida." type="custom" errorStyle="stop">
      <formula1>AND(F52&gt;=0,F52&lt;=E52)</formula1>
    </dataValidation>
    <dataValidation sqref="C53"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3" showDropDown="0" showInputMessage="0" showErrorMessage="1" allowBlank="1" errorTitle="Produto não reconhecido" error="Escolha um produto da lista oficial." type="list">
      <formula1>='Entrada de Dados'!$C$5:$U$5</formula1>
    </dataValidation>
    <dataValidation sqref="E53" showDropDown="0" showInputMessage="0" showErrorMessage="1" allowBlank="1" errorTitle="Inválido" error="Não pode ser negativo." type="decimal" errorStyle="stop" operator="greaterThanOrEqual">
      <formula1>0</formula1>
    </dataValidation>
    <dataValidation sqref="F53" showDropDown="0" showInputMessage="0" showErrorMessage="1" allowBlank="1" errorTitle="Rejeição maior que o recebido" error="A rejeição não pode ser maior que a quantidade recebida." type="custom" errorStyle="stop">
      <formula1>AND(F53&gt;=0,F53&lt;=E53)</formula1>
    </dataValidation>
    <dataValidation sqref="C54"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4" showDropDown="0" showInputMessage="0" showErrorMessage="1" allowBlank="1" errorTitle="Produto não reconhecido" error="Escolha um produto da lista oficial." type="list">
      <formula1>='Entrada de Dados'!$C$5:$U$5</formula1>
    </dataValidation>
    <dataValidation sqref="E54" showDropDown="0" showInputMessage="0" showErrorMessage="1" allowBlank="1" errorTitle="Inválido" error="Não pode ser negativo." type="decimal" errorStyle="stop" operator="greaterThanOrEqual">
      <formula1>0</formula1>
    </dataValidation>
    <dataValidation sqref="F54" showDropDown="0" showInputMessage="0" showErrorMessage="1" allowBlank="1" errorTitle="Rejeição maior que o recebido" error="A rejeição não pode ser maior que a quantidade recebida." type="custom" errorStyle="stop">
      <formula1>AND(F54&gt;=0,F54&lt;=E54)</formula1>
    </dataValidation>
    <dataValidation sqref="C55"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5" showDropDown="0" showInputMessage="0" showErrorMessage="1" allowBlank="1" errorTitle="Produto não reconhecido" error="Escolha um produto da lista oficial." type="list">
      <formula1>='Entrada de Dados'!$C$5:$U$5</formula1>
    </dataValidation>
    <dataValidation sqref="E55" showDropDown="0" showInputMessage="0" showErrorMessage="1" allowBlank="1" errorTitle="Inválido" error="Não pode ser negativo." type="decimal" errorStyle="stop" operator="greaterThanOrEqual">
      <formula1>0</formula1>
    </dataValidation>
    <dataValidation sqref="F55" showDropDown="0" showInputMessage="0" showErrorMessage="1" allowBlank="1" errorTitle="Rejeição maior que o recebido" error="A rejeição não pode ser maior que a quantidade recebida." type="custom" errorStyle="stop">
      <formula1>AND(F55&gt;=0,F55&lt;=E55)</formula1>
    </dataValidation>
    <dataValidation sqref="C56" showDropDown="0" showInputMessage="0" showErrorMessage="1" allowBlank="1" errorTitle="Produtor não cadastrado" error="Escolha um produtor da lista." type="list">
      <formula1>"Ana Claudia Correa Ruas de Souza,Anderson de Mello Quimas,Armando Jose da Silva,Arnaldo da Silva,Claudeni Rodrigues Xavier,Edson Jose da Silva,Gabriel Adriano de Souza,Gustavo de Mello Rodrigues,Joaquim Sergio Lage,Jorge Gabriel Pereira Diniz,Jose Gilmar Santana de Mello,Jose Rodrigues de Melo,Lucio Mauro Felix da Silva,Luiz Ailton de Oliveira Pinto,Marcelo Marcos Delgado,Marcio Azevedo de Souza,Marco Antonio Coelho,Marcos Marcelo Delgado,Miguel Fernando de Almeida,Nilson Ferreira da Silva,Renato Jose da Silva,Rodolfo Azevedo de Andrade"</formula1>
    </dataValidation>
    <dataValidation sqref="D56" showDropDown="0" showInputMessage="0" showErrorMessage="1" allowBlank="1" errorTitle="Produto não reconhecido" error="Escolha um produto da lista oficial." type="list">
      <formula1>='Entrada de Dados'!$C$5:$U$5</formula1>
    </dataValidation>
    <dataValidation sqref="E56" showDropDown="0" showInputMessage="0" showErrorMessage="1" allowBlank="1" errorTitle="Inválido" error="Não pode ser negativo." type="decimal" errorStyle="stop" operator="greaterThanOrEqual">
      <formula1>0</formula1>
    </dataValidation>
    <dataValidation sqref="F56" showDropDown="0" showInputMessage="0" showErrorMessage="1" allowBlank="1" errorTitle="Rejeição maior que o recebido" error="A rejeição não pode ser maior que a quantidade recebida." type="custom" errorStyle="stop">
      <formula1>AND(F56&gt;=0,F56&lt;=E56)</formula1>
    </dataValidation>
    <dataValidation sqref="A60" showDropDown="0" showInputMessage="0" showErrorMessage="1" allowBlank="1" errorTitle="Número de recebimento inválido" error="Escolha um número de recebimento já lançado na seção 1." type="list">
      <formula1>=$A$7:$A$56</formula1>
    </dataValidation>
    <dataValidation sqref="D60" showDropDown="0" showInputMessage="0" showErrorMessage="1" allowBlank="1" errorTitle="Código não cadastrado" error="Escolha um código de escola da lista." type="list">
      <formula1>='Entrada de Dados'!$A$6:$A$196</formula1>
    </dataValidation>
    <dataValidation sqref="G60" showDropDown="0" showInputMessage="0" showErrorMessage="1" allowBlank="1" errorTitle="Inválido" error="Não pode ser negativo." type="decimal" errorStyle="stop" operator="greaterThanOrEqual">
      <formula1>0</formula1>
    </dataValidation>
    <dataValidation sqref="H60" showDropDown="0" showInputMessage="0" showErrorMessage="1" allowBlank="1" errorTitle="Rejeição maior que o apresentado" error="A rejeição não pode ser maior que a quantidade apresentada." type="custom" errorStyle="stop">
      <formula1>AND(H60&gt;=0,H60&lt;=G60)</formula1>
    </dataValidation>
    <dataValidation sqref="A61" showDropDown="0" showInputMessage="0" showErrorMessage="1" allowBlank="1" errorTitle="Número de recebimento inválido" error="Escolha um número de recebimento já lançado na seção 1." type="list">
      <formula1>=$A$7:$A$56</formula1>
    </dataValidation>
    <dataValidation sqref="D61" showDropDown="0" showInputMessage="0" showErrorMessage="1" allowBlank="1" errorTitle="Código não cadastrado" error="Escolha um código de escola da lista." type="list">
      <formula1>='Entrada de Dados'!$A$6:$A$196</formula1>
    </dataValidation>
    <dataValidation sqref="G61" showDropDown="0" showInputMessage="0" showErrorMessage="1" allowBlank="1" errorTitle="Inválido" error="Não pode ser negativo." type="decimal" errorStyle="stop" operator="greaterThanOrEqual">
      <formula1>0</formula1>
    </dataValidation>
    <dataValidation sqref="H61" showDropDown="0" showInputMessage="0" showErrorMessage="1" allowBlank="1" errorTitle="Rejeição maior que o apresentado" error="A rejeição não pode ser maior que a quantidade apresentada." type="custom" errorStyle="stop">
      <formula1>AND(H61&gt;=0,H61&lt;=G61)</formula1>
    </dataValidation>
    <dataValidation sqref="A62" showDropDown="0" showInputMessage="0" showErrorMessage="1" allowBlank="1" errorTitle="Número de recebimento inválido" error="Escolha um número de recebimento já lançado na seção 1." type="list">
      <formula1>=$A$7:$A$56</formula1>
    </dataValidation>
    <dataValidation sqref="D62" showDropDown="0" showInputMessage="0" showErrorMessage="1" allowBlank="1" errorTitle="Código não cadastrado" error="Escolha um código de escola da lista." type="list">
      <formula1>='Entrada de Dados'!$A$6:$A$196</formula1>
    </dataValidation>
    <dataValidation sqref="G62" showDropDown="0" showInputMessage="0" showErrorMessage="1" allowBlank="1" errorTitle="Inválido" error="Não pode ser negativo." type="decimal" errorStyle="stop" operator="greaterThanOrEqual">
      <formula1>0</formula1>
    </dataValidation>
    <dataValidation sqref="H62" showDropDown="0" showInputMessage="0" showErrorMessage="1" allowBlank="1" errorTitle="Rejeição maior que o apresentado" error="A rejeição não pode ser maior que a quantidade apresentada." type="custom" errorStyle="stop">
      <formula1>AND(H62&gt;=0,H62&lt;=G62)</formula1>
    </dataValidation>
    <dataValidation sqref="A63" showDropDown="0" showInputMessage="0" showErrorMessage="1" allowBlank="1" errorTitle="Número de recebimento inválido" error="Escolha um número de recebimento já lançado na seção 1." type="list">
      <formula1>=$A$7:$A$56</formula1>
    </dataValidation>
    <dataValidation sqref="D63" showDropDown="0" showInputMessage="0" showErrorMessage="1" allowBlank="1" errorTitle="Código não cadastrado" error="Escolha um código de escola da lista." type="list">
      <formula1>='Entrada de Dados'!$A$6:$A$196</formula1>
    </dataValidation>
    <dataValidation sqref="G63" showDropDown="0" showInputMessage="0" showErrorMessage="1" allowBlank="1" errorTitle="Inválido" error="Não pode ser negativo." type="decimal" errorStyle="stop" operator="greaterThanOrEqual">
      <formula1>0</formula1>
    </dataValidation>
    <dataValidation sqref="H63" showDropDown="0" showInputMessage="0" showErrorMessage="1" allowBlank="1" errorTitle="Rejeição maior que o apresentado" error="A rejeição não pode ser maior que a quantidade apresentada." type="custom" errorStyle="stop">
      <formula1>AND(H63&gt;=0,H63&lt;=G63)</formula1>
    </dataValidation>
    <dataValidation sqref="A64" showDropDown="0" showInputMessage="0" showErrorMessage="1" allowBlank="1" errorTitle="Número de recebimento inválido" error="Escolha um número de recebimento já lançado na seção 1." type="list">
      <formula1>=$A$7:$A$56</formula1>
    </dataValidation>
    <dataValidation sqref="D64" showDropDown="0" showInputMessage="0" showErrorMessage="1" allowBlank="1" errorTitle="Código não cadastrado" error="Escolha um código de escola da lista." type="list">
      <formula1>='Entrada de Dados'!$A$6:$A$196</formula1>
    </dataValidation>
    <dataValidation sqref="G64" showDropDown="0" showInputMessage="0" showErrorMessage="1" allowBlank="1" errorTitle="Inválido" error="Não pode ser negativo." type="decimal" errorStyle="stop" operator="greaterThanOrEqual">
      <formula1>0</formula1>
    </dataValidation>
    <dataValidation sqref="H64" showDropDown="0" showInputMessage="0" showErrorMessage="1" allowBlank="1" errorTitle="Rejeição maior que o apresentado" error="A rejeição não pode ser maior que a quantidade apresentada." type="custom" errorStyle="stop">
      <formula1>AND(H64&gt;=0,H64&lt;=G64)</formula1>
    </dataValidation>
    <dataValidation sqref="A65" showDropDown="0" showInputMessage="0" showErrorMessage="1" allowBlank="1" errorTitle="Número de recebimento inválido" error="Escolha um número de recebimento já lançado na seção 1." type="list">
      <formula1>=$A$7:$A$56</formula1>
    </dataValidation>
    <dataValidation sqref="D65" showDropDown="0" showInputMessage="0" showErrorMessage="1" allowBlank="1" errorTitle="Código não cadastrado" error="Escolha um código de escola da lista." type="list">
      <formula1>='Entrada de Dados'!$A$6:$A$196</formula1>
    </dataValidation>
    <dataValidation sqref="G65" showDropDown="0" showInputMessage="0" showErrorMessage="1" allowBlank="1" errorTitle="Inválido" error="Não pode ser negativo." type="decimal" errorStyle="stop" operator="greaterThanOrEqual">
      <formula1>0</formula1>
    </dataValidation>
    <dataValidation sqref="H65" showDropDown="0" showInputMessage="0" showErrorMessage="1" allowBlank="1" errorTitle="Rejeição maior que o apresentado" error="A rejeição não pode ser maior que a quantidade apresentada." type="custom" errorStyle="stop">
      <formula1>AND(H65&gt;=0,H65&lt;=G65)</formula1>
    </dataValidation>
    <dataValidation sqref="A66" showDropDown="0" showInputMessage="0" showErrorMessage="1" allowBlank="1" errorTitle="Número de recebimento inválido" error="Escolha um número de recebimento já lançado na seção 1." type="list">
      <formula1>=$A$7:$A$56</formula1>
    </dataValidation>
    <dataValidation sqref="D66" showDropDown="0" showInputMessage="0" showErrorMessage="1" allowBlank="1" errorTitle="Código não cadastrado" error="Escolha um código de escola da lista." type="list">
      <formula1>='Entrada de Dados'!$A$6:$A$196</formula1>
    </dataValidation>
    <dataValidation sqref="G66" showDropDown="0" showInputMessage="0" showErrorMessage="1" allowBlank="1" errorTitle="Inválido" error="Não pode ser negativo." type="decimal" errorStyle="stop" operator="greaterThanOrEqual">
      <formula1>0</formula1>
    </dataValidation>
    <dataValidation sqref="H66" showDropDown="0" showInputMessage="0" showErrorMessage="1" allowBlank="1" errorTitle="Rejeição maior que o apresentado" error="A rejeição não pode ser maior que a quantidade apresentada." type="custom" errorStyle="stop">
      <formula1>AND(H66&gt;=0,H66&lt;=G66)</formula1>
    </dataValidation>
    <dataValidation sqref="A67" showDropDown="0" showInputMessage="0" showErrorMessage="1" allowBlank="1" errorTitle="Número de recebimento inválido" error="Escolha um número de recebimento já lançado na seção 1." type="list">
      <formula1>=$A$7:$A$56</formula1>
    </dataValidation>
    <dataValidation sqref="D67" showDropDown="0" showInputMessage="0" showErrorMessage="1" allowBlank="1" errorTitle="Código não cadastrado" error="Escolha um código de escola da lista." type="list">
      <formula1>='Entrada de Dados'!$A$6:$A$196</formula1>
    </dataValidation>
    <dataValidation sqref="G67" showDropDown="0" showInputMessage="0" showErrorMessage="1" allowBlank="1" errorTitle="Inválido" error="Não pode ser negativo." type="decimal" errorStyle="stop" operator="greaterThanOrEqual">
      <formula1>0</formula1>
    </dataValidation>
    <dataValidation sqref="H67" showDropDown="0" showInputMessage="0" showErrorMessage="1" allowBlank="1" errorTitle="Rejeição maior que o apresentado" error="A rejeição não pode ser maior que a quantidade apresentada." type="custom" errorStyle="stop">
      <formula1>AND(H67&gt;=0,H67&lt;=G67)</formula1>
    </dataValidation>
    <dataValidation sqref="A68" showDropDown="0" showInputMessage="0" showErrorMessage="1" allowBlank="1" errorTitle="Número de recebimento inválido" error="Escolha um número de recebimento já lançado na seção 1." type="list">
      <formula1>=$A$7:$A$56</formula1>
    </dataValidation>
    <dataValidation sqref="D68" showDropDown="0" showInputMessage="0" showErrorMessage="1" allowBlank="1" errorTitle="Código não cadastrado" error="Escolha um código de escola da lista." type="list">
      <formula1>='Entrada de Dados'!$A$6:$A$196</formula1>
    </dataValidation>
    <dataValidation sqref="G68" showDropDown="0" showInputMessage="0" showErrorMessage="1" allowBlank="1" errorTitle="Inválido" error="Não pode ser negativo." type="decimal" errorStyle="stop" operator="greaterThanOrEqual">
      <formula1>0</formula1>
    </dataValidation>
    <dataValidation sqref="H68" showDropDown="0" showInputMessage="0" showErrorMessage="1" allowBlank="1" errorTitle="Rejeição maior que o apresentado" error="A rejeição não pode ser maior que a quantidade apresentada." type="custom" errorStyle="stop">
      <formula1>AND(H68&gt;=0,H68&lt;=G68)</formula1>
    </dataValidation>
    <dataValidation sqref="A69" showDropDown="0" showInputMessage="0" showErrorMessage="1" allowBlank="1" errorTitle="Número de recebimento inválido" error="Escolha um número de recebimento já lançado na seção 1." type="list">
      <formula1>=$A$7:$A$56</formula1>
    </dataValidation>
    <dataValidation sqref="D69" showDropDown="0" showInputMessage="0" showErrorMessage="1" allowBlank="1" errorTitle="Código não cadastrado" error="Escolha um código de escola da lista." type="list">
      <formula1>='Entrada de Dados'!$A$6:$A$196</formula1>
    </dataValidation>
    <dataValidation sqref="G69" showDropDown="0" showInputMessage="0" showErrorMessage="1" allowBlank="1" errorTitle="Inválido" error="Não pode ser negativo." type="decimal" errorStyle="stop" operator="greaterThanOrEqual">
      <formula1>0</formula1>
    </dataValidation>
    <dataValidation sqref="H69" showDropDown="0" showInputMessage="0" showErrorMessage="1" allowBlank="1" errorTitle="Rejeição maior que o apresentado" error="A rejeição não pode ser maior que a quantidade apresentada." type="custom" errorStyle="stop">
      <formula1>AND(H69&gt;=0,H69&lt;=G69)</formula1>
    </dataValidation>
    <dataValidation sqref="A70" showDropDown="0" showInputMessage="0" showErrorMessage="1" allowBlank="1" errorTitle="Número de recebimento inválido" error="Escolha um número de recebimento já lançado na seção 1." type="list">
      <formula1>=$A$7:$A$56</formula1>
    </dataValidation>
    <dataValidation sqref="D70" showDropDown="0" showInputMessage="0" showErrorMessage="1" allowBlank="1" errorTitle="Código não cadastrado" error="Escolha um código de escola da lista." type="list">
      <formula1>='Entrada de Dados'!$A$6:$A$196</formula1>
    </dataValidation>
    <dataValidation sqref="G70" showDropDown="0" showInputMessage="0" showErrorMessage="1" allowBlank="1" errorTitle="Inválido" error="Não pode ser negativo." type="decimal" errorStyle="stop" operator="greaterThanOrEqual">
      <formula1>0</formula1>
    </dataValidation>
    <dataValidation sqref="H70" showDropDown="0" showInputMessage="0" showErrorMessage="1" allowBlank="1" errorTitle="Rejeição maior que o apresentado" error="A rejeição não pode ser maior que a quantidade apresentada." type="custom" errorStyle="stop">
      <formula1>AND(H70&gt;=0,H70&lt;=G70)</formula1>
    </dataValidation>
    <dataValidation sqref="A71" showDropDown="0" showInputMessage="0" showErrorMessage="1" allowBlank="1" errorTitle="Número de recebimento inválido" error="Escolha um número de recebimento já lançado na seção 1." type="list">
      <formula1>=$A$7:$A$56</formula1>
    </dataValidation>
    <dataValidation sqref="D71" showDropDown="0" showInputMessage="0" showErrorMessage="1" allowBlank="1" errorTitle="Código não cadastrado" error="Escolha um código de escola da lista." type="list">
      <formula1>='Entrada de Dados'!$A$6:$A$196</formula1>
    </dataValidation>
    <dataValidation sqref="G71" showDropDown="0" showInputMessage="0" showErrorMessage="1" allowBlank="1" errorTitle="Inválido" error="Não pode ser negativo." type="decimal" errorStyle="stop" operator="greaterThanOrEqual">
      <formula1>0</formula1>
    </dataValidation>
    <dataValidation sqref="H71" showDropDown="0" showInputMessage="0" showErrorMessage="1" allowBlank="1" errorTitle="Rejeição maior que o apresentado" error="A rejeição não pode ser maior que a quantidade apresentada." type="custom" errorStyle="stop">
      <formula1>AND(H71&gt;=0,H71&lt;=G71)</formula1>
    </dataValidation>
    <dataValidation sqref="A72" showDropDown="0" showInputMessage="0" showErrorMessage="1" allowBlank="1" errorTitle="Número de recebimento inválido" error="Escolha um número de recebimento já lançado na seção 1." type="list">
      <formula1>=$A$7:$A$56</formula1>
    </dataValidation>
    <dataValidation sqref="D72" showDropDown="0" showInputMessage="0" showErrorMessage="1" allowBlank="1" errorTitle="Código não cadastrado" error="Escolha um código de escola da lista." type="list">
      <formula1>='Entrada de Dados'!$A$6:$A$196</formula1>
    </dataValidation>
    <dataValidation sqref="G72" showDropDown="0" showInputMessage="0" showErrorMessage="1" allowBlank="1" errorTitle="Inválido" error="Não pode ser negativo." type="decimal" errorStyle="stop" operator="greaterThanOrEqual">
      <formula1>0</formula1>
    </dataValidation>
    <dataValidation sqref="H72" showDropDown="0" showInputMessage="0" showErrorMessage="1" allowBlank="1" errorTitle="Rejeição maior que o apresentado" error="A rejeição não pode ser maior que a quantidade apresentada." type="custom" errorStyle="stop">
      <formula1>AND(H72&gt;=0,H72&lt;=G72)</formula1>
    </dataValidation>
    <dataValidation sqref="A73" showDropDown="0" showInputMessage="0" showErrorMessage="1" allowBlank="1" errorTitle="Número de recebimento inválido" error="Escolha um número de recebimento já lançado na seção 1." type="list">
      <formula1>=$A$7:$A$56</formula1>
    </dataValidation>
    <dataValidation sqref="D73" showDropDown="0" showInputMessage="0" showErrorMessage="1" allowBlank="1" errorTitle="Código não cadastrado" error="Escolha um código de escola da lista." type="list">
      <formula1>='Entrada de Dados'!$A$6:$A$196</formula1>
    </dataValidation>
    <dataValidation sqref="G73" showDropDown="0" showInputMessage="0" showErrorMessage="1" allowBlank="1" errorTitle="Inválido" error="Não pode ser negativo." type="decimal" errorStyle="stop" operator="greaterThanOrEqual">
      <formula1>0</formula1>
    </dataValidation>
    <dataValidation sqref="H73" showDropDown="0" showInputMessage="0" showErrorMessage="1" allowBlank="1" errorTitle="Rejeição maior que o apresentado" error="A rejeição não pode ser maior que a quantidade apresentada." type="custom" errorStyle="stop">
      <formula1>AND(H73&gt;=0,H73&lt;=G73)</formula1>
    </dataValidation>
    <dataValidation sqref="A74" showDropDown="0" showInputMessage="0" showErrorMessage="1" allowBlank="1" errorTitle="Número de recebimento inválido" error="Escolha um número de recebimento já lançado na seção 1." type="list">
      <formula1>=$A$7:$A$56</formula1>
    </dataValidation>
    <dataValidation sqref="D74" showDropDown="0" showInputMessage="0" showErrorMessage="1" allowBlank="1" errorTitle="Código não cadastrado" error="Escolha um código de escola da lista." type="list">
      <formula1>='Entrada de Dados'!$A$6:$A$196</formula1>
    </dataValidation>
    <dataValidation sqref="G74" showDropDown="0" showInputMessage="0" showErrorMessage="1" allowBlank="1" errorTitle="Inválido" error="Não pode ser negativo." type="decimal" errorStyle="stop" operator="greaterThanOrEqual">
      <formula1>0</formula1>
    </dataValidation>
    <dataValidation sqref="H74" showDropDown="0" showInputMessage="0" showErrorMessage="1" allowBlank="1" errorTitle="Rejeição maior que o apresentado" error="A rejeição não pode ser maior que a quantidade apresentada." type="custom" errorStyle="stop">
      <formula1>AND(H74&gt;=0,H74&lt;=G74)</formula1>
    </dataValidation>
    <dataValidation sqref="A75" showDropDown="0" showInputMessage="0" showErrorMessage="1" allowBlank="1" errorTitle="Número de recebimento inválido" error="Escolha um número de recebimento já lançado na seção 1." type="list">
      <formula1>=$A$7:$A$56</formula1>
    </dataValidation>
    <dataValidation sqref="D75" showDropDown="0" showInputMessage="0" showErrorMessage="1" allowBlank="1" errorTitle="Código não cadastrado" error="Escolha um código de escola da lista." type="list">
      <formula1>='Entrada de Dados'!$A$6:$A$196</formula1>
    </dataValidation>
    <dataValidation sqref="G75" showDropDown="0" showInputMessage="0" showErrorMessage="1" allowBlank="1" errorTitle="Inválido" error="Não pode ser negativo." type="decimal" errorStyle="stop" operator="greaterThanOrEqual">
      <formula1>0</formula1>
    </dataValidation>
    <dataValidation sqref="H75" showDropDown="0" showInputMessage="0" showErrorMessage="1" allowBlank="1" errorTitle="Rejeição maior que o apresentado" error="A rejeição não pode ser maior que a quantidade apresentada." type="custom" errorStyle="stop">
      <formula1>AND(H75&gt;=0,H75&lt;=G75)</formula1>
    </dataValidation>
    <dataValidation sqref="A76" showDropDown="0" showInputMessage="0" showErrorMessage="1" allowBlank="1" errorTitle="Número de recebimento inválido" error="Escolha um número de recebimento já lançado na seção 1." type="list">
      <formula1>=$A$7:$A$56</formula1>
    </dataValidation>
    <dataValidation sqref="D76" showDropDown="0" showInputMessage="0" showErrorMessage="1" allowBlank="1" errorTitle="Código não cadastrado" error="Escolha um código de escola da lista." type="list">
      <formula1>='Entrada de Dados'!$A$6:$A$196</formula1>
    </dataValidation>
    <dataValidation sqref="G76" showDropDown="0" showInputMessage="0" showErrorMessage="1" allowBlank="1" errorTitle="Inválido" error="Não pode ser negativo." type="decimal" errorStyle="stop" operator="greaterThanOrEqual">
      <formula1>0</formula1>
    </dataValidation>
    <dataValidation sqref="H76" showDropDown="0" showInputMessage="0" showErrorMessage="1" allowBlank="1" errorTitle="Rejeição maior que o apresentado" error="A rejeição não pode ser maior que a quantidade apresentada." type="custom" errorStyle="stop">
      <formula1>AND(H76&gt;=0,H76&lt;=G76)</formula1>
    </dataValidation>
    <dataValidation sqref="A77" showDropDown="0" showInputMessage="0" showErrorMessage="1" allowBlank="1" errorTitle="Número de recebimento inválido" error="Escolha um número de recebimento já lançado na seção 1." type="list">
      <formula1>=$A$7:$A$56</formula1>
    </dataValidation>
    <dataValidation sqref="D77" showDropDown="0" showInputMessage="0" showErrorMessage="1" allowBlank="1" errorTitle="Código não cadastrado" error="Escolha um código de escola da lista." type="list">
      <formula1>='Entrada de Dados'!$A$6:$A$196</formula1>
    </dataValidation>
    <dataValidation sqref="G77" showDropDown="0" showInputMessage="0" showErrorMessage="1" allowBlank="1" errorTitle="Inválido" error="Não pode ser negativo." type="decimal" errorStyle="stop" operator="greaterThanOrEqual">
      <formula1>0</formula1>
    </dataValidation>
    <dataValidation sqref="H77" showDropDown="0" showInputMessage="0" showErrorMessage="1" allowBlank="1" errorTitle="Rejeição maior que o apresentado" error="A rejeição não pode ser maior que a quantidade apresentada." type="custom" errorStyle="stop">
      <formula1>AND(H77&gt;=0,H77&lt;=G77)</formula1>
    </dataValidation>
    <dataValidation sqref="A78" showDropDown="0" showInputMessage="0" showErrorMessage="1" allowBlank="1" errorTitle="Número de recebimento inválido" error="Escolha um número de recebimento já lançado na seção 1." type="list">
      <formula1>=$A$7:$A$56</formula1>
    </dataValidation>
    <dataValidation sqref="D78" showDropDown="0" showInputMessage="0" showErrorMessage="1" allowBlank="1" errorTitle="Código não cadastrado" error="Escolha um código de escola da lista." type="list">
      <formula1>='Entrada de Dados'!$A$6:$A$196</formula1>
    </dataValidation>
    <dataValidation sqref="G78" showDropDown="0" showInputMessage="0" showErrorMessage="1" allowBlank="1" errorTitle="Inválido" error="Não pode ser negativo." type="decimal" errorStyle="stop" operator="greaterThanOrEqual">
      <formula1>0</formula1>
    </dataValidation>
    <dataValidation sqref="H78" showDropDown="0" showInputMessage="0" showErrorMessage="1" allowBlank="1" errorTitle="Rejeição maior que o apresentado" error="A rejeição não pode ser maior que a quantidade apresentada." type="custom" errorStyle="stop">
      <formula1>AND(H78&gt;=0,H78&lt;=G78)</formula1>
    </dataValidation>
    <dataValidation sqref="A79" showDropDown="0" showInputMessage="0" showErrorMessage="1" allowBlank="1" errorTitle="Número de recebimento inválido" error="Escolha um número de recebimento já lançado na seção 1." type="list">
      <formula1>=$A$7:$A$56</formula1>
    </dataValidation>
    <dataValidation sqref="D79" showDropDown="0" showInputMessage="0" showErrorMessage="1" allowBlank="1" errorTitle="Código não cadastrado" error="Escolha um código de escola da lista." type="list">
      <formula1>='Entrada de Dados'!$A$6:$A$196</formula1>
    </dataValidation>
    <dataValidation sqref="G79" showDropDown="0" showInputMessage="0" showErrorMessage="1" allowBlank="1" errorTitle="Inválido" error="Não pode ser negativo." type="decimal" errorStyle="stop" operator="greaterThanOrEqual">
      <formula1>0</formula1>
    </dataValidation>
    <dataValidation sqref="H79" showDropDown="0" showInputMessage="0" showErrorMessage="1" allowBlank="1" errorTitle="Rejeição maior que o apresentado" error="A rejeição não pode ser maior que a quantidade apresentada." type="custom" errorStyle="stop">
      <formula1>AND(H79&gt;=0,H79&lt;=G79)</formula1>
    </dataValidation>
    <dataValidation sqref="A80" showDropDown="0" showInputMessage="0" showErrorMessage="1" allowBlank="1" errorTitle="Número de recebimento inválido" error="Escolha um número de recebimento já lançado na seção 1." type="list">
      <formula1>=$A$7:$A$56</formula1>
    </dataValidation>
    <dataValidation sqref="D80" showDropDown="0" showInputMessage="0" showErrorMessage="1" allowBlank="1" errorTitle="Código não cadastrado" error="Escolha um código de escola da lista." type="list">
      <formula1>='Entrada de Dados'!$A$6:$A$196</formula1>
    </dataValidation>
    <dataValidation sqref="G80" showDropDown="0" showInputMessage="0" showErrorMessage="1" allowBlank="1" errorTitle="Inválido" error="Não pode ser negativo." type="decimal" errorStyle="stop" operator="greaterThanOrEqual">
      <formula1>0</formula1>
    </dataValidation>
    <dataValidation sqref="H80" showDropDown="0" showInputMessage="0" showErrorMessage="1" allowBlank="1" errorTitle="Rejeição maior que o apresentado" error="A rejeição não pode ser maior que a quantidade apresentada." type="custom" errorStyle="stop">
      <formula1>AND(H80&gt;=0,H80&lt;=G80)</formula1>
    </dataValidation>
    <dataValidation sqref="A81" showDropDown="0" showInputMessage="0" showErrorMessage="1" allowBlank="1" errorTitle="Número de recebimento inválido" error="Escolha um número de recebimento já lançado na seção 1." type="list">
      <formula1>=$A$7:$A$56</formula1>
    </dataValidation>
    <dataValidation sqref="D81" showDropDown="0" showInputMessage="0" showErrorMessage="1" allowBlank="1" errorTitle="Código não cadastrado" error="Escolha um código de escola da lista." type="list">
      <formula1>='Entrada de Dados'!$A$6:$A$196</formula1>
    </dataValidation>
    <dataValidation sqref="G81" showDropDown="0" showInputMessage="0" showErrorMessage="1" allowBlank="1" errorTitle="Inválido" error="Não pode ser negativo." type="decimal" errorStyle="stop" operator="greaterThanOrEqual">
      <formula1>0</formula1>
    </dataValidation>
    <dataValidation sqref="H81" showDropDown="0" showInputMessage="0" showErrorMessage="1" allowBlank="1" errorTitle="Rejeição maior que o apresentado" error="A rejeição não pode ser maior que a quantidade apresentada." type="custom" errorStyle="stop">
      <formula1>AND(H81&gt;=0,H81&lt;=G81)</formula1>
    </dataValidation>
    <dataValidation sqref="A82" showDropDown="0" showInputMessage="0" showErrorMessage="1" allowBlank="1" errorTitle="Número de recebimento inválido" error="Escolha um número de recebimento já lançado na seção 1." type="list">
      <formula1>=$A$7:$A$56</formula1>
    </dataValidation>
    <dataValidation sqref="D82" showDropDown="0" showInputMessage="0" showErrorMessage="1" allowBlank="1" errorTitle="Código não cadastrado" error="Escolha um código de escola da lista." type="list">
      <formula1>='Entrada de Dados'!$A$6:$A$196</formula1>
    </dataValidation>
    <dataValidation sqref="G82" showDropDown="0" showInputMessage="0" showErrorMessage="1" allowBlank="1" errorTitle="Inválido" error="Não pode ser negativo." type="decimal" errorStyle="stop" operator="greaterThanOrEqual">
      <formula1>0</formula1>
    </dataValidation>
    <dataValidation sqref="H82" showDropDown="0" showInputMessage="0" showErrorMessage="1" allowBlank="1" errorTitle="Rejeição maior que o apresentado" error="A rejeição não pode ser maior que a quantidade apresentada." type="custom" errorStyle="stop">
      <formula1>AND(H82&gt;=0,H82&lt;=G82)</formula1>
    </dataValidation>
    <dataValidation sqref="A83" showDropDown="0" showInputMessage="0" showErrorMessage="1" allowBlank="1" errorTitle="Número de recebimento inválido" error="Escolha um número de recebimento já lançado na seção 1." type="list">
      <formula1>=$A$7:$A$56</formula1>
    </dataValidation>
    <dataValidation sqref="D83" showDropDown="0" showInputMessage="0" showErrorMessage="1" allowBlank="1" errorTitle="Código não cadastrado" error="Escolha um código de escola da lista." type="list">
      <formula1>='Entrada de Dados'!$A$6:$A$196</formula1>
    </dataValidation>
    <dataValidation sqref="G83" showDropDown="0" showInputMessage="0" showErrorMessage="1" allowBlank="1" errorTitle="Inválido" error="Não pode ser negativo." type="decimal" errorStyle="stop" operator="greaterThanOrEqual">
      <formula1>0</formula1>
    </dataValidation>
    <dataValidation sqref="H83" showDropDown="0" showInputMessage="0" showErrorMessage="1" allowBlank="1" errorTitle="Rejeição maior que o apresentado" error="A rejeição não pode ser maior que a quantidade apresentada." type="custom" errorStyle="stop">
      <formula1>AND(H83&gt;=0,H83&lt;=G83)</formula1>
    </dataValidation>
    <dataValidation sqref="A84" showDropDown="0" showInputMessage="0" showErrorMessage="1" allowBlank="1" errorTitle="Número de recebimento inválido" error="Escolha um número de recebimento já lançado na seção 1." type="list">
      <formula1>=$A$7:$A$56</formula1>
    </dataValidation>
    <dataValidation sqref="D84" showDropDown="0" showInputMessage="0" showErrorMessage="1" allowBlank="1" errorTitle="Código não cadastrado" error="Escolha um código de escola da lista." type="list">
      <formula1>='Entrada de Dados'!$A$6:$A$196</formula1>
    </dataValidation>
    <dataValidation sqref="G84" showDropDown="0" showInputMessage="0" showErrorMessage="1" allowBlank="1" errorTitle="Inválido" error="Não pode ser negativo." type="decimal" errorStyle="stop" operator="greaterThanOrEqual">
      <formula1>0</formula1>
    </dataValidation>
    <dataValidation sqref="H84" showDropDown="0" showInputMessage="0" showErrorMessage="1" allowBlank="1" errorTitle="Rejeição maior que o apresentado" error="A rejeição não pode ser maior que a quantidade apresentada." type="custom" errorStyle="stop">
      <formula1>AND(H84&gt;=0,H84&lt;=G84)</formula1>
    </dataValidation>
    <dataValidation sqref="A85" showDropDown="0" showInputMessage="0" showErrorMessage="1" allowBlank="1" errorTitle="Número de recebimento inválido" error="Escolha um número de recebimento já lançado na seção 1." type="list">
      <formula1>=$A$7:$A$56</formula1>
    </dataValidation>
    <dataValidation sqref="D85" showDropDown="0" showInputMessage="0" showErrorMessage="1" allowBlank="1" errorTitle="Código não cadastrado" error="Escolha um código de escola da lista." type="list">
      <formula1>='Entrada de Dados'!$A$6:$A$196</formula1>
    </dataValidation>
    <dataValidation sqref="G85" showDropDown="0" showInputMessage="0" showErrorMessage="1" allowBlank="1" errorTitle="Inválido" error="Não pode ser negativo." type="decimal" errorStyle="stop" operator="greaterThanOrEqual">
      <formula1>0</formula1>
    </dataValidation>
    <dataValidation sqref="H85" showDropDown="0" showInputMessage="0" showErrorMessage="1" allowBlank="1" errorTitle="Rejeição maior que o apresentado" error="A rejeição não pode ser maior que a quantidade apresentada." type="custom" errorStyle="stop">
      <formula1>AND(H85&gt;=0,H85&lt;=G85)</formula1>
    </dataValidation>
    <dataValidation sqref="A86" showDropDown="0" showInputMessage="0" showErrorMessage="1" allowBlank="1" errorTitle="Número de recebimento inválido" error="Escolha um número de recebimento já lançado na seção 1." type="list">
      <formula1>=$A$7:$A$56</formula1>
    </dataValidation>
    <dataValidation sqref="D86" showDropDown="0" showInputMessage="0" showErrorMessage="1" allowBlank="1" errorTitle="Código não cadastrado" error="Escolha um código de escola da lista." type="list">
      <formula1>='Entrada de Dados'!$A$6:$A$196</formula1>
    </dataValidation>
    <dataValidation sqref="G86" showDropDown="0" showInputMessage="0" showErrorMessage="1" allowBlank="1" errorTitle="Inválido" error="Não pode ser negativo." type="decimal" errorStyle="stop" operator="greaterThanOrEqual">
      <formula1>0</formula1>
    </dataValidation>
    <dataValidation sqref="H86" showDropDown="0" showInputMessage="0" showErrorMessage="1" allowBlank="1" errorTitle="Rejeição maior que o apresentado" error="A rejeição não pode ser maior que a quantidade apresentada." type="custom" errorStyle="stop">
      <formula1>AND(H86&gt;=0,H86&lt;=G86)</formula1>
    </dataValidation>
    <dataValidation sqref="A87" showDropDown="0" showInputMessage="0" showErrorMessage="1" allowBlank="1" errorTitle="Número de recebimento inválido" error="Escolha um número de recebimento já lançado na seção 1." type="list">
      <formula1>=$A$7:$A$56</formula1>
    </dataValidation>
    <dataValidation sqref="D87" showDropDown="0" showInputMessage="0" showErrorMessage="1" allowBlank="1" errorTitle="Código não cadastrado" error="Escolha um código de escola da lista." type="list">
      <formula1>='Entrada de Dados'!$A$6:$A$196</formula1>
    </dataValidation>
    <dataValidation sqref="G87" showDropDown="0" showInputMessage="0" showErrorMessage="1" allowBlank="1" errorTitle="Inválido" error="Não pode ser negativo." type="decimal" errorStyle="stop" operator="greaterThanOrEqual">
      <formula1>0</formula1>
    </dataValidation>
    <dataValidation sqref="H87" showDropDown="0" showInputMessage="0" showErrorMessage="1" allowBlank="1" errorTitle="Rejeição maior que o apresentado" error="A rejeição não pode ser maior que a quantidade apresentada." type="custom" errorStyle="stop">
      <formula1>AND(H87&gt;=0,H87&lt;=G87)</formula1>
    </dataValidation>
    <dataValidation sqref="A88" showDropDown="0" showInputMessage="0" showErrorMessage="1" allowBlank="1" errorTitle="Número de recebimento inválido" error="Escolha um número de recebimento já lançado na seção 1." type="list">
      <formula1>=$A$7:$A$56</formula1>
    </dataValidation>
    <dataValidation sqref="D88" showDropDown="0" showInputMessage="0" showErrorMessage="1" allowBlank="1" errorTitle="Código não cadastrado" error="Escolha um código de escola da lista." type="list">
      <formula1>='Entrada de Dados'!$A$6:$A$196</formula1>
    </dataValidation>
    <dataValidation sqref="G88" showDropDown="0" showInputMessage="0" showErrorMessage="1" allowBlank="1" errorTitle="Inválido" error="Não pode ser negativo." type="decimal" errorStyle="stop" operator="greaterThanOrEqual">
      <formula1>0</formula1>
    </dataValidation>
    <dataValidation sqref="H88" showDropDown="0" showInputMessage="0" showErrorMessage="1" allowBlank="1" errorTitle="Rejeição maior que o apresentado" error="A rejeição não pode ser maior que a quantidade apresentada." type="custom" errorStyle="stop">
      <formula1>AND(H88&gt;=0,H88&lt;=G88)</formula1>
    </dataValidation>
    <dataValidation sqref="A89" showDropDown="0" showInputMessage="0" showErrorMessage="1" allowBlank="1" errorTitle="Número de recebimento inválido" error="Escolha um número de recebimento já lançado na seção 1." type="list">
      <formula1>=$A$7:$A$56</formula1>
    </dataValidation>
    <dataValidation sqref="D89" showDropDown="0" showInputMessage="0" showErrorMessage="1" allowBlank="1" errorTitle="Código não cadastrado" error="Escolha um código de escola da lista." type="list">
      <formula1>='Entrada de Dados'!$A$6:$A$196</formula1>
    </dataValidation>
    <dataValidation sqref="G89" showDropDown="0" showInputMessage="0" showErrorMessage="1" allowBlank="1" errorTitle="Inválido" error="Não pode ser negativo." type="decimal" errorStyle="stop" operator="greaterThanOrEqual">
      <formula1>0</formula1>
    </dataValidation>
    <dataValidation sqref="H89" showDropDown="0" showInputMessage="0" showErrorMessage="1" allowBlank="1" errorTitle="Rejeição maior que o apresentado" error="A rejeição não pode ser maior que a quantidade apresentada." type="custom" errorStyle="stop">
      <formula1>AND(H89&gt;=0,H89&lt;=G89)</formula1>
    </dataValidation>
    <dataValidation sqref="A90" showDropDown="0" showInputMessage="0" showErrorMessage="1" allowBlank="1" errorTitle="Número de recebimento inválido" error="Escolha um número de recebimento já lançado na seção 1." type="list">
      <formula1>=$A$7:$A$56</formula1>
    </dataValidation>
    <dataValidation sqref="D90" showDropDown="0" showInputMessage="0" showErrorMessage="1" allowBlank="1" errorTitle="Código não cadastrado" error="Escolha um código de escola da lista." type="list">
      <formula1>='Entrada de Dados'!$A$6:$A$196</formula1>
    </dataValidation>
    <dataValidation sqref="G90" showDropDown="0" showInputMessage="0" showErrorMessage="1" allowBlank="1" errorTitle="Inválido" error="Não pode ser negativo." type="decimal" errorStyle="stop" operator="greaterThanOrEqual">
      <formula1>0</formula1>
    </dataValidation>
    <dataValidation sqref="H90" showDropDown="0" showInputMessage="0" showErrorMessage="1" allowBlank="1" errorTitle="Rejeição maior que o apresentado" error="A rejeição não pode ser maior que a quantidade apresentada." type="custom" errorStyle="stop">
      <formula1>AND(H90&gt;=0,H90&lt;=G90)</formula1>
    </dataValidation>
    <dataValidation sqref="A91" showDropDown="0" showInputMessage="0" showErrorMessage="1" allowBlank="1" errorTitle="Número de recebimento inválido" error="Escolha um número de recebimento já lançado na seção 1." type="list">
      <formula1>=$A$7:$A$56</formula1>
    </dataValidation>
    <dataValidation sqref="D91" showDropDown="0" showInputMessage="0" showErrorMessage="1" allowBlank="1" errorTitle="Código não cadastrado" error="Escolha um código de escola da lista." type="list">
      <formula1>='Entrada de Dados'!$A$6:$A$196</formula1>
    </dataValidation>
    <dataValidation sqref="G91" showDropDown="0" showInputMessage="0" showErrorMessage="1" allowBlank="1" errorTitle="Inválido" error="Não pode ser negativo." type="decimal" errorStyle="stop" operator="greaterThanOrEqual">
      <formula1>0</formula1>
    </dataValidation>
    <dataValidation sqref="H91" showDropDown="0" showInputMessage="0" showErrorMessage="1" allowBlank="1" errorTitle="Rejeição maior que o apresentado" error="A rejeição não pode ser maior que a quantidade apresentada." type="custom" errorStyle="stop">
      <formula1>AND(H91&gt;=0,H91&lt;=G91)</formula1>
    </dataValidation>
    <dataValidation sqref="A92" showDropDown="0" showInputMessage="0" showErrorMessage="1" allowBlank="1" errorTitle="Número de recebimento inválido" error="Escolha um número de recebimento já lançado na seção 1." type="list">
      <formula1>=$A$7:$A$56</formula1>
    </dataValidation>
    <dataValidation sqref="D92" showDropDown="0" showInputMessage="0" showErrorMessage="1" allowBlank="1" errorTitle="Código não cadastrado" error="Escolha um código de escola da lista." type="list">
      <formula1>='Entrada de Dados'!$A$6:$A$196</formula1>
    </dataValidation>
    <dataValidation sqref="G92" showDropDown="0" showInputMessage="0" showErrorMessage="1" allowBlank="1" errorTitle="Inválido" error="Não pode ser negativo." type="decimal" errorStyle="stop" operator="greaterThanOrEqual">
      <formula1>0</formula1>
    </dataValidation>
    <dataValidation sqref="H92" showDropDown="0" showInputMessage="0" showErrorMessage="1" allowBlank="1" errorTitle="Rejeição maior que o apresentado" error="A rejeição não pode ser maior que a quantidade apresentada." type="custom" errorStyle="stop">
      <formula1>AND(H92&gt;=0,H92&lt;=G92)</formula1>
    </dataValidation>
    <dataValidation sqref="A93" showDropDown="0" showInputMessage="0" showErrorMessage="1" allowBlank="1" errorTitle="Número de recebimento inválido" error="Escolha um número de recebimento já lançado na seção 1." type="list">
      <formula1>=$A$7:$A$56</formula1>
    </dataValidation>
    <dataValidation sqref="D93" showDropDown="0" showInputMessage="0" showErrorMessage="1" allowBlank="1" errorTitle="Código não cadastrado" error="Escolha um código de escola da lista." type="list">
      <formula1>='Entrada de Dados'!$A$6:$A$196</formula1>
    </dataValidation>
    <dataValidation sqref="G93" showDropDown="0" showInputMessage="0" showErrorMessage="1" allowBlank="1" errorTitle="Inválido" error="Não pode ser negativo." type="decimal" errorStyle="stop" operator="greaterThanOrEqual">
      <formula1>0</formula1>
    </dataValidation>
    <dataValidation sqref="H93" showDropDown="0" showInputMessage="0" showErrorMessage="1" allowBlank="1" errorTitle="Rejeição maior que o apresentado" error="A rejeição não pode ser maior que a quantidade apresentada." type="custom" errorStyle="stop">
      <formula1>AND(H93&gt;=0,H93&lt;=G93)</formula1>
    </dataValidation>
    <dataValidation sqref="A94" showDropDown="0" showInputMessage="0" showErrorMessage="1" allowBlank="1" errorTitle="Número de recebimento inválido" error="Escolha um número de recebimento já lançado na seção 1." type="list">
      <formula1>=$A$7:$A$56</formula1>
    </dataValidation>
    <dataValidation sqref="D94" showDropDown="0" showInputMessage="0" showErrorMessage="1" allowBlank="1" errorTitle="Código não cadastrado" error="Escolha um código de escola da lista." type="list">
      <formula1>='Entrada de Dados'!$A$6:$A$196</formula1>
    </dataValidation>
    <dataValidation sqref="G94" showDropDown="0" showInputMessage="0" showErrorMessage="1" allowBlank="1" errorTitle="Inválido" error="Não pode ser negativo." type="decimal" errorStyle="stop" operator="greaterThanOrEqual">
      <formula1>0</formula1>
    </dataValidation>
    <dataValidation sqref="H94" showDropDown="0" showInputMessage="0" showErrorMessage="1" allowBlank="1" errorTitle="Rejeição maior que o apresentado" error="A rejeição não pode ser maior que a quantidade apresentada." type="custom" errorStyle="stop">
      <formula1>AND(H94&gt;=0,H94&lt;=G94)</formula1>
    </dataValidation>
    <dataValidation sqref="A95" showDropDown="0" showInputMessage="0" showErrorMessage="1" allowBlank="1" errorTitle="Número de recebimento inválido" error="Escolha um número de recebimento já lançado na seção 1." type="list">
      <formula1>=$A$7:$A$56</formula1>
    </dataValidation>
    <dataValidation sqref="D95" showDropDown="0" showInputMessage="0" showErrorMessage="1" allowBlank="1" errorTitle="Código não cadastrado" error="Escolha um código de escola da lista." type="list">
      <formula1>='Entrada de Dados'!$A$6:$A$196</formula1>
    </dataValidation>
    <dataValidation sqref="G95" showDropDown="0" showInputMessage="0" showErrorMessage="1" allowBlank="1" errorTitle="Inválido" error="Não pode ser negativo." type="decimal" errorStyle="stop" operator="greaterThanOrEqual">
      <formula1>0</formula1>
    </dataValidation>
    <dataValidation sqref="H95" showDropDown="0" showInputMessage="0" showErrorMessage="1" allowBlank="1" errorTitle="Rejeição maior que o apresentado" error="A rejeição não pode ser maior que a quantidade apresentada." type="custom" errorStyle="stop">
      <formula1>AND(H95&gt;=0,H95&lt;=G95)</formula1>
    </dataValidation>
    <dataValidation sqref="A96" showDropDown="0" showInputMessage="0" showErrorMessage="1" allowBlank="1" errorTitle="Número de recebimento inválido" error="Escolha um número de recebimento já lançado na seção 1." type="list">
      <formula1>=$A$7:$A$56</formula1>
    </dataValidation>
    <dataValidation sqref="D96" showDropDown="0" showInputMessage="0" showErrorMessage="1" allowBlank="1" errorTitle="Código não cadastrado" error="Escolha um código de escola da lista." type="list">
      <formula1>='Entrada de Dados'!$A$6:$A$196</formula1>
    </dataValidation>
    <dataValidation sqref="G96" showDropDown="0" showInputMessage="0" showErrorMessage="1" allowBlank="1" errorTitle="Inválido" error="Não pode ser negativo." type="decimal" errorStyle="stop" operator="greaterThanOrEqual">
      <formula1>0</formula1>
    </dataValidation>
    <dataValidation sqref="H96" showDropDown="0" showInputMessage="0" showErrorMessage="1" allowBlank="1" errorTitle="Rejeição maior que o apresentado" error="A rejeição não pode ser maior que a quantidade apresentada." type="custom" errorStyle="stop">
      <formula1>AND(H96&gt;=0,H96&lt;=G96)</formula1>
    </dataValidation>
    <dataValidation sqref="A97" showDropDown="0" showInputMessage="0" showErrorMessage="1" allowBlank="1" errorTitle="Número de recebimento inválido" error="Escolha um número de recebimento já lançado na seção 1." type="list">
      <formula1>=$A$7:$A$56</formula1>
    </dataValidation>
    <dataValidation sqref="D97" showDropDown="0" showInputMessage="0" showErrorMessage="1" allowBlank="1" errorTitle="Código não cadastrado" error="Escolha um código de escola da lista." type="list">
      <formula1>='Entrada de Dados'!$A$6:$A$196</formula1>
    </dataValidation>
    <dataValidation sqref="G97" showDropDown="0" showInputMessage="0" showErrorMessage="1" allowBlank="1" errorTitle="Inválido" error="Não pode ser negativo." type="decimal" errorStyle="stop" operator="greaterThanOrEqual">
      <formula1>0</formula1>
    </dataValidation>
    <dataValidation sqref="H97" showDropDown="0" showInputMessage="0" showErrorMessage="1" allowBlank="1" errorTitle="Rejeição maior que o apresentado" error="A rejeição não pode ser maior que a quantidade apresentada." type="custom" errorStyle="stop">
      <formula1>AND(H97&gt;=0,H97&lt;=G97)</formula1>
    </dataValidation>
    <dataValidation sqref="A98" showDropDown="0" showInputMessage="0" showErrorMessage="1" allowBlank="1" errorTitle="Número de recebimento inválido" error="Escolha um número de recebimento já lançado na seção 1." type="list">
      <formula1>=$A$7:$A$56</formula1>
    </dataValidation>
    <dataValidation sqref="D98" showDropDown="0" showInputMessage="0" showErrorMessage="1" allowBlank="1" errorTitle="Código não cadastrado" error="Escolha um código de escola da lista." type="list">
      <formula1>='Entrada de Dados'!$A$6:$A$196</formula1>
    </dataValidation>
    <dataValidation sqref="G98" showDropDown="0" showInputMessage="0" showErrorMessage="1" allowBlank="1" errorTitle="Inválido" error="Não pode ser negativo." type="decimal" errorStyle="stop" operator="greaterThanOrEqual">
      <formula1>0</formula1>
    </dataValidation>
    <dataValidation sqref="H98" showDropDown="0" showInputMessage="0" showErrorMessage="1" allowBlank="1" errorTitle="Rejeição maior que o apresentado" error="A rejeição não pode ser maior que a quantidade apresentada." type="custom" errorStyle="stop">
      <formula1>AND(H98&gt;=0,H98&lt;=G98)</formula1>
    </dataValidation>
    <dataValidation sqref="A99" showDropDown="0" showInputMessage="0" showErrorMessage="1" allowBlank="1" errorTitle="Número de recebimento inválido" error="Escolha um número de recebimento já lançado na seção 1." type="list">
      <formula1>=$A$7:$A$56</formula1>
    </dataValidation>
    <dataValidation sqref="D99" showDropDown="0" showInputMessage="0" showErrorMessage="1" allowBlank="1" errorTitle="Código não cadastrado" error="Escolha um código de escola da lista." type="list">
      <formula1>='Entrada de Dados'!$A$6:$A$196</formula1>
    </dataValidation>
    <dataValidation sqref="G99" showDropDown="0" showInputMessage="0" showErrorMessage="1" allowBlank="1" errorTitle="Inválido" error="Não pode ser negativo." type="decimal" errorStyle="stop" operator="greaterThanOrEqual">
      <formula1>0</formula1>
    </dataValidation>
    <dataValidation sqref="H99" showDropDown="0" showInputMessage="0" showErrorMessage="1" allowBlank="1" errorTitle="Rejeição maior que o apresentado" error="A rejeição não pode ser maior que a quantidade apresentada." type="custom" errorStyle="stop">
      <formula1>AND(H99&gt;=0,H99&lt;=G99)</formula1>
    </dataValidation>
    <dataValidation sqref="A100" showDropDown="0" showInputMessage="0" showErrorMessage="1" allowBlank="1" errorTitle="Número de recebimento inválido" error="Escolha um número de recebimento já lançado na seção 1." type="list">
      <formula1>=$A$7:$A$56</formula1>
    </dataValidation>
    <dataValidation sqref="D100" showDropDown="0" showInputMessage="0" showErrorMessage="1" allowBlank="1" errorTitle="Código não cadastrado" error="Escolha um código de escola da lista." type="list">
      <formula1>='Entrada de Dados'!$A$6:$A$196</formula1>
    </dataValidation>
    <dataValidation sqref="G100" showDropDown="0" showInputMessage="0" showErrorMessage="1" allowBlank="1" errorTitle="Inválido" error="Não pode ser negativo." type="decimal" errorStyle="stop" operator="greaterThanOrEqual">
      <formula1>0</formula1>
    </dataValidation>
    <dataValidation sqref="H100" showDropDown="0" showInputMessage="0" showErrorMessage="1" allowBlank="1" errorTitle="Rejeição maior que o apresentado" error="A rejeição não pode ser maior que a quantidade apresentada." type="custom" errorStyle="stop">
      <formula1>AND(H100&gt;=0,H100&lt;=G100)</formula1>
    </dataValidation>
    <dataValidation sqref="A101" showDropDown="0" showInputMessage="0" showErrorMessage="1" allowBlank="1" errorTitle="Número de recebimento inválido" error="Escolha um número de recebimento já lançado na seção 1." type="list">
      <formula1>=$A$7:$A$56</formula1>
    </dataValidation>
    <dataValidation sqref="D101" showDropDown="0" showInputMessage="0" showErrorMessage="1" allowBlank="1" errorTitle="Código não cadastrado" error="Escolha um código de escola da lista." type="list">
      <formula1>='Entrada de Dados'!$A$6:$A$196</formula1>
    </dataValidation>
    <dataValidation sqref="G101" showDropDown="0" showInputMessage="0" showErrorMessage="1" allowBlank="1" errorTitle="Inválido" error="Não pode ser negativo." type="decimal" errorStyle="stop" operator="greaterThanOrEqual">
      <formula1>0</formula1>
    </dataValidation>
    <dataValidation sqref="H101" showDropDown="0" showInputMessage="0" showErrorMessage="1" allowBlank="1" errorTitle="Rejeição maior que o apresentado" error="A rejeição não pode ser maior que a quantidade apresentada." type="custom" errorStyle="stop">
      <formula1>AND(H101&gt;=0,H101&lt;=G101)</formula1>
    </dataValidation>
    <dataValidation sqref="A102" showDropDown="0" showInputMessage="0" showErrorMessage="1" allowBlank="1" errorTitle="Número de recebimento inválido" error="Escolha um número de recebimento já lançado na seção 1." type="list">
      <formula1>=$A$7:$A$56</formula1>
    </dataValidation>
    <dataValidation sqref="D102" showDropDown="0" showInputMessage="0" showErrorMessage="1" allowBlank="1" errorTitle="Código não cadastrado" error="Escolha um código de escola da lista." type="list">
      <formula1>='Entrada de Dados'!$A$6:$A$196</formula1>
    </dataValidation>
    <dataValidation sqref="G102" showDropDown="0" showInputMessage="0" showErrorMessage="1" allowBlank="1" errorTitle="Inválido" error="Não pode ser negativo." type="decimal" errorStyle="stop" operator="greaterThanOrEqual">
      <formula1>0</formula1>
    </dataValidation>
    <dataValidation sqref="H102" showDropDown="0" showInputMessage="0" showErrorMessage="1" allowBlank="1" errorTitle="Rejeição maior que o apresentado" error="A rejeição não pode ser maior que a quantidade apresentada." type="custom" errorStyle="stop">
      <formula1>AND(H102&gt;=0,H102&lt;=G102)</formula1>
    </dataValidation>
    <dataValidation sqref="A103" showDropDown="0" showInputMessage="0" showErrorMessage="1" allowBlank="1" errorTitle="Número de recebimento inválido" error="Escolha um número de recebimento já lançado na seção 1." type="list">
      <formula1>=$A$7:$A$56</formula1>
    </dataValidation>
    <dataValidation sqref="D103" showDropDown="0" showInputMessage="0" showErrorMessage="1" allowBlank="1" errorTitle="Código não cadastrado" error="Escolha um código de escola da lista." type="list">
      <formula1>='Entrada de Dados'!$A$6:$A$196</formula1>
    </dataValidation>
    <dataValidation sqref="G103" showDropDown="0" showInputMessage="0" showErrorMessage="1" allowBlank="1" errorTitle="Inválido" error="Não pode ser negativo." type="decimal" errorStyle="stop" operator="greaterThanOrEqual">
      <formula1>0</formula1>
    </dataValidation>
    <dataValidation sqref="H103" showDropDown="0" showInputMessage="0" showErrorMessage="1" allowBlank="1" errorTitle="Rejeição maior que o apresentado" error="A rejeição não pode ser maior que a quantidade apresentada." type="custom" errorStyle="stop">
      <formula1>AND(H103&gt;=0,H103&lt;=G103)</formula1>
    </dataValidation>
    <dataValidation sqref="A104" showDropDown="0" showInputMessage="0" showErrorMessage="1" allowBlank="1" errorTitle="Número de recebimento inválido" error="Escolha um número de recebimento já lançado na seção 1." type="list">
      <formula1>=$A$7:$A$56</formula1>
    </dataValidation>
    <dataValidation sqref="D104" showDropDown="0" showInputMessage="0" showErrorMessage="1" allowBlank="1" errorTitle="Código não cadastrado" error="Escolha um código de escola da lista." type="list">
      <formula1>='Entrada de Dados'!$A$6:$A$196</formula1>
    </dataValidation>
    <dataValidation sqref="G104" showDropDown="0" showInputMessage="0" showErrorMessage="1" allowBlank="1" errorTitle="Inválido" error="Não pode ser negativo." type="decimal" errorStyle="stop" operator="greaterThanOrEqual">
      <formula1>0</formula1>
    </dataValidation>
    <dataValidation sqref="H104" showDropDown="0" showInputMessage="0" showErrorMessage="1" allowBlank="1" errorTitle="Rejeição maior que o apresentado" error="A rejeição não pode ser maior que a quantidade apresentada." type="custom" errorStyle="stop">
      <formula1>AND(H104&gt;=0,H104&lt;=G104)</formula1>
    </dataValidation>
    <dataValidation sqref="A105" showDropDown="0" showInputMessage="0" showErrorMessage="1" allowBlank="1" errorTitle="Número de recebimento inválido" error="Escolha um número de recebimento já lançado na seção 1." type="list">
      <formula1>=$A$7:$A$56</formula1>
    </dataValidation>
    <dataValidation sqref="D105" showDropDown="0" showInputMessage="0" showErrorMessage="1" allowBlank="1" errorTitle="Código não cadastrado" error="Escolha um código de escola da lista." type="list">
      <formula1>='Entrada de Dados'!$A$6:$A$196</formula1>
    </dataValidation>
    <dataValidation sqref="G105" showDropDown="0" showInputMessage="0" showErrorMessage="1" allowBlank="1" errorTitle="Inválido" error="Não pode ser negativo." type="decimal" errorStyle="stop" operator="greaterThanOrEqual">
      <formula1>0</formula1>
    </dataValidation>
    <dataValidation sqref="H105" showDropDown="0" showInputMessage="0" showErrorMessage="1" allowBlank="1" errorTitle="Rejeição maior que o apresentado" error="A rejeição não pode ser maior que a quantidade apresentada." type="custom" errorStyle="stop">
      <formula1>AND(H105&gt;=0,H105&lt;=G105)</formula1>
    </dataValidation>
    <dataValidation sqref="A106" showDropDown="0" showInputMessage="0" showErrorMessage="1" allowBlank="1" errorTitle="Número de recebimento inválido" error="Escolha um número de recebimento já lançado na seção 1." type="list">
      <formula1>=$A$7:$A$56</formula1>
    </dataValidation>
    <dataValidation sqref="D106" showDropDown="0" showInputMessage="0" showErrorMessage="1" allowBlank="1" errorTitle="Código não cadastrado" error="Escolha um código de escola da lista." type="list">
      <formula1>='Entrada de Dados'!$A$6:$A$196</formula1>
    </dataValidation>
    <dataValidation sqref="G106" showDropDown="0" showInputMessage="0" showErrorMessage="1" allowBlank="1" errorTitle="Inválido" error="Não pode ser negativo." type="decimal" errorStyle="stop" operator="greaterThanOrEqual">
      <formula1>0</formula1>
    </dataValidation>
    <dataValidation sqref="H106" showDropDown="0" showInputMessage="0" showErrorMessage="1" allowBlank="1" errorTitle="Rejeição maior que o apresentado" error="A rejeição não pode ser maior que a quantidade apresentada." type="custom" errorStyle="stop">
      <formula1>AND(H106&gt;=0,H106&lt;=G106)</formula1>
    </dataValidation>
    <dataValidation sqref="A107" showDropDown="0" showInputMessage="0" showErrorMessage="1" allowBlank="1" errorTitle="Número de recebimento inválido" error="Escolha um número de recebimento já lançado na seção 1." type="list">
      <formula1>=$A$7:$A$56</formula1>
    </dataValidation>
    <dataValidation sqref="D107" showDropDown="0" showInputMessage="0" showErrorMessage="1" allowBlank="1" errorTitle="Código não cadastrado" error="Escolha um código de escola da lista." type="list">
      <formula1>='Entrada de Dados'!$A$6:$A$196</formula1>
    </dataValidation>
    <dataValidation sqref="G107" showDropDown="0" showInputMessage="0" showErrorMessage="1" allowBlank="1" errorTitle="Inválido" error="Não pode ser negativo." type="decimal" errorStyle="stop" operator="greaterThanOrEqual">
      <formula1>0</formula1>
    </dataValidation>
    <dataValidation sqref="H107" showDropDown="0" showInputMessage="0" showErrorMessage="1" allowBlank="1" errorTitle="Rejeição maior que o apresentado" error="A rejeição não pode ser maior que a quantidade apresentada." type="custom" errorStyle="stop">
      <formula1>AND(H107&gt;=0,H107&lt;=G107)</formula1>
    </dataValidation>
    <dataValidation sqref="A108" showDropDown="0" showInputMessage="0" showErrorMessage="1" allowBlank="1" errorTitle="Número de recebimento inválido" error="Escolha um número de recebimento já lançado na seção 1." type="list">
      <formula1>=$A$7:$A$56</formula1>
    </dataValidation>
    <dataValidation sqref="D108" showDropDown="0" showInputMessage="0" showErrorMessage="1" allowBlank="1" errorTitle="Código não cadastrado" error="Escolha um código de escola da lista." type="list">
      <formula1>='Entrada de Dados'!$A$6:$A$196</formula1>
    </dataValidation>
    <dataValidation sqref="G108" showDropDown="0" showInputMessage="0" showErrorMessage="1" allowBlank="1" errorTitle="Inválido" error="Não pode ser negativo." type="decimal" errorStyle="stop" operator="greaterThanOrEqual">
      <formula1>0</formula1>
    </dataValidation>
    <dataValidation sqref="H108" showDropDown="0" showInputMessage="0" showErrorMessage="1" allowBlank="1" errorTitle="Rejeição maior que o apresentado" error="A rejeição não pode ser maior que a quantidade apresentada." type="custom" errorStyle="stop">
      <formula1>AND(H108&gt;=0,H108&lt;=G108)</formula1>
    </dataValidation>
    <dataValidation sqref="A109" showDropDown="0" showInputMessage="0" showErrorMessage="1" allowBlank="1" errorTitle="Número de recebimento inválido" error="Escolha um número de recebimento já lançado na seção 1." type="list">
      <formula1>=$A$7:$A$56</formula1>
    </dataValidation>
    <dataValidation sqref="D109" showDropDown="0" showInputMessage="0" showErrorMessage="1" allowBlank="1" errorTitle="Código não cadastrado" error="Escolha um código de escola da lista." type="list">
      <formula1>='Entrada de Dados'!$A$6:$A$196</formula1>
    </dataValidation>
    <dataValidation sqref="G109" showDropDown="0" showInputMessage="0" showErrorMessage="1" allowBlank="1" errorTitle="Inválido" error="Não pode ser negativo." type="decimal" errorStyle="stop" operator="greaterThanOrEqual">
      <formula1>0</formula1>
    </dataValidation>
    <dataValidation sqref="H109" showDropDown="0" showInputMessage="0" showErrorMessage="1" allowBlank="1" errorTitle="Rejeição maior que o apresentado" error="A rejeição não pode ser maior que a quantidade apresentada." type="custom" errorStyle="stop">
      <formula1>AND(H109&gt;=0,H109&lt;=G109)</formula1>
    </dataValidation>
    <dataValidation sqref="A110" showDropDown="0" showInputMessage="0" showErrorMessage="1" allowBlank="1" errorTitle="Número de recebimento inválido" error="Escolha um número de recebimento já lançado na seção 1." type="list">
      <formula1>=$A$7:$A$56</formula1>
    </dataValidation>
    <dataValidation sqref="D110" showDropDown="0" showInputMessage="0" showErrorMessage="1" allowBlank="1" errorTitle="Código não cadastrado" error="Escolha um código de escola da lista." type="list">
      <formula1>='Entrada de Dados'!$A$6:$A$196</formula1>
    </dataValidation>
    <dataValidation sqref="G110" showDropDown="0" showInputMessage="0" showErrorMessage="1" allowBlank="1" errorTitle="Inválido" error="Não pode ser negativo." type="decimal" errorStyle="stop" operator="greaterThanOrEqual">
      <formula1>0</formula1>
    </dataValidation>
    <dataValidation sqref="H110" showDropDown="0" showInputMessage="0" showErrorMessage="1" allowBlank="1" errorTitle="Rejeição maior que o apresentado" error="A rejeição não pode ser maior que a quantidade apresentada." type="custom" errorStyle="stop">
      <formula1>AND(H110&gt;=0,H110&lt;=G110)</formula1>
    </dataValidation>
    <dataValidation sqref="A111" showDropDown="0" showInputMessage="0" showErrorMessage="1" allowBlank="1" errorTitle="Número de recebimento inválido" error="Escolha um número de recebimento já lançado na seção 1." type="list">
      <formula1>=$A$7:$A$56</formula1>
    </dataValidation>
    <dataValidation sqref="D111" showDropDown="0" showInputMessage="0" showErrorMessage="1" allowBlank="1" errorTitle="Código não cadastrado" error="Escolha um código de escola da lista." type="list">
      <formula1>='Entrada de Dados'!$A$6:$A$196</formula1>
    </dataValidation>
    <dataValidation sqref="G111" showDropDown="0" showInputMessage="0" showErrorMessage="1" allowBlank="1" errorTitle="Inválido" error="Não pode ser negativo." type="decimal" errorStyle="stop" operator="greaterThanOrEqual">
      <formula1>0</formula1>
    </dataValidation>
    <dataValidation sqref="H111" showDropDown="0" showInputMessage="0" showErrorMessage="1" allowBlank="1" errorTitle="Rejeição maior que o apresentado" error="A rejeição não pode ser maior que a quantidade apresentada." type="custom" errorStyle="stop">
      <formula1>AND(H111&gt;=0,H111&lt;=G111)</formula1>
    </dataValidation>
    <dataValidation sqref="A112" showDropDown="0" showInputMessage="0" showErrorMessage="1" allowBlank="1" errorTitle="Número de recebimento inválido" error="Escolha um número de recebimento já lançado na seção 1." type="list">
      <formula1>=$A$7:$A$56</formula1>
    </dataValidation>
    <dataValidation sqref="D112" showDropDown="0" showInputMessage="0" showErrorMessage="1" allowBlank="1" errorTitle="Código não cadastrado" error="Escolha um código de escola da lista." type="list">
      <formula1>='Entrada de Dados'!$A$6:$A$196</formula1>
    </dataValidation>
    <dataValidation sqref="G112" showDropDown="0" showInputMessage="0" showErrorMessage="1" allowBlank="1" errorTitle="Inválido" error="Não pode ser negativo." type="decimal" errorStyle="stop" operator="greaterThanOrEqual">
      <formula1>0</formula1>
    </dataValidation>
    <dataValidation sqref="H112" showDropDown="0" showInputMessage="0" showErrorMessage="1" allowBlank="1" errorTitle="Rejeição maior que o apresentado" error="A rejeição não pode ser maior que a quantidade apresentada." type="custom" errorStyle="stop">
      <formula1>AND(H112&gt;=0,H112&lt;=G112)</formula1>
    </dataValidation>
    <dataValidation sqref="A113" showDropDown="0" showInputMessage="0" showErrorMessage="1" allowBlank="1" errorTitle="Número de recebimento inválido" error="Escolha um número de recebimento já lançado na seção 1." type="list">
      <formula1>=$A$7:$A$56</formula1>
    </dataValidation>
    <dataValidation sqref="D113" showDropDown="0" showInputMessage="0" showErrorMessage="1" allowBlank="1" errorTitle="Código não cadastrado" error="Escolha um código de escola da lista." type="list">
      <formula1>='Entrada de Dados'!$A$6:$A$196</formula1>
    </dataValidation>
    <dataValidation sqref="G113" showDropDown="0" showInputMessage="0" showErrorMessage="1" allowBlank="1" errorTitle="Inválido" error="Não pode ser negativo." type="decimal" errorStyle="stop" operator="greaterThanOrEqual">
      <formula1>0</formula1>
    </dataValidation>
    <dataValidation sqref="H113" showDropDown="0" showInputMessage="0" showErrorMessage="1" allowBlank="1" errorTitle="Rejeição maior que o apresentado" error="A rejeição não pode ser maior que a quantidade apresentada." type="custom" errorStyle="stop">
      <formula1>AND(H113&gt;=0,H113&lt;=G113)</formula1>
    </dataValidation>
    <dataValidation sqref="A114" showDropDown="0" showInputMessage="0" showErrorMessage="1" allowBlank="1" errorTitle="Número de recebimento inválido" error="Escolha um número de recebimento já lançado na seção 1." type="list">
      <formula1>=$A$7:$A$56</formula1>
    </dataValidation>
    <dataValidation sqref="D114" showDropDown="0" showInputMessage="0" showErrorMessage="1" allowBlank="1" errorTitle="Código não cadastrado" error="Escolha um código de escola da lista." type="list">
      <formula1>='Entrada de Dados'!$A$6:$A$196</formula1>
    </dataValidation>
    <dataValidation sqref="G114" showDropDown="0" showInputMessage="0" showErrorMessage="1" allowBlank="1" errorTitle="Inválido" error="Não pode ser negativo." type="decimal" errorStyle="stop" operator="greaterThanOrEqual">
      <formula1>0</formula1>
    </dataValidation>
    <dataValidation sqref="H114" showDropDown="0" showInputMessage="0" showErrorMessage="1" allowBlank="1" errorTitle="Rejeição maior que o apresentado" error="A rejeição não pode ser maior que a quantidade apresentada." type="custom" errorStyle="stop">
      <formula1>AND(H114&gt;=0,H114&lt;=G114)</formula1>
    </dataValidation>
    <dataValidation sqref="A115" showDropDown="0" showInputMessage="0" showErrorMessage="1" allowBlank="1" errorTitle="Número de recebimento inválido" error="Escolha um número de recebimento já lançado na seção 1." type="list">
      <formula1>=$A$7:$A$56</formula1>
    </dataValidation>
    <dataValidation sqref="D115" showDropDown="0" showInputMessage="0" showErrorMessage="1" allowBlank="1" errorTitle="Código não cadastrado" error="Escolha um código de escola da lista." type="list">
      <formula1>='Entrada de Dados'!$A$6:$A$196</formula1>
    </dataValidation>
    <dataValidation sqref="G115" showDropDown="0" showInputMessage="0" showErrorMessage="1" allowBlank="1" errorTitle="Inválido" error="Não pode ser negativo." type="decimal" errorStyle="stop" operator="greaterThanOrEqual">
      <formula1>0</formula1>
    </dataValidation>
    <dataValidation sqref="H115" showDropDown="0" showInputMessage="0" showErrorMessage="1" allowBlank="1" errorTitle="Rejeição maior que o apresentado" error="A rejeição não pode ser maior que a quantidade apresentada." type="custom" errorStyle="stop">
      <formula1>AND(H115&gt;=0,H115&lt;=G115)</formula1>
    </dataValidation>
    <dataValidation sqref="A116" showDropDown="0" showInputMessage="0" showErrorMessage="1" allowBlank="1" errorTitle="Número de recebimento inválido" error="Escolha um número de recebimento já lançado na seção 1." type="list">
      <formula1>=$A$7:$A$56</formula1>
    </dataValidation>
    <dataValidation sqref="D116" showDropDown="0" showInputMessage="0" showErrorMessage="1" allowBlank="1" errorTitle="Código não cadastrado" error="Escolha um código de escola da lista." type="list">
      <formula1>='Entrada de Dados'!$A$6:$A$196</formula1>
    </dataValidation>
    <dataValidation sqref="G116" showDropDown="0" showInputMessage="0" showErrorMessage="1" allowBlank="1" errorTitle="Inválido" error="Não pode ser negativo." type="decimal" errorStyle="stop" operator="greaterThanOrEqual">
      <formula1>0</formula1>
    </dataValidation>
    <dataValidation sqref="H116" showDropDown="0" showInputMessage="0" showErrorMessage="1" allowBlank="1" errorTitle="Rejeição maior que o apresentado" error="A rejeição não pode ser maior que a quantidade apresentada." type="custom" errorStyle="stop">
      <formula1>AND(H116&gt;=0,H116&lt;=G116)</formula1>
    </dataValidation>
    <dataValidation sqref="A117" showDropDown="0" showInputMessage="0" showErrorMessage="1" allowBlank="1" errorTitle="Número de recebimento inválido" error="Escolha um número de recebimento já lançado na seção 1." type="list">
      <formula1>=$A$7:$A$56</formula1>
    </dataValidation>
    <dataValidation sqref="D117" showDropDown="0" showInputMessage="0" showErrorMessage="1" allowBlank="1" errorTitle="Código não cadastrado" error="Escolha um código de escola da lista." type="list">
      <formula1>='Entrada de Dados'!$A$6:$A$196</formula1>
    </dataValidation>
    <dataValidation sqref="G117" showDropDown="0" showInputMessage="0" showErrorMessage="1" allowBlank="1" errorTitle="Inválido" error="Não pode ser negativo." type="decimal" errorStyle="stop" operator="greaterThanOrEqual">
      <formula1>0</formula1>
    </dataValidation>
    <dataValidation sqref="H117" showDropDown="0" showInputMessage="0" showErrorMessage="1" allowBlank="1" errorTitle="Rejeição maior que o apresentado" error="A rejeição não pode ser maior que a quantidade apresentada." type="custom" errorStyle="stop">
      <formula1>AND(H117&gt;=0,H117&lt;=G117)</formula1>
    </dataValidation>
    <dataValidation sqref="A118" showDropDown="0" showInputMessage="0" showErrorMessage="1" allowBlank="1" errorTitle="Número de recebimento inválido" error="Escolha um número de recebimento já lançado na seção 1." type="list">
      <formula1>=$A$7:$A$56</formula1>
    </dataValidation>
    <dataValidation sqref="D118" showDropDown="0" showInputMessage="0" showErrorMessage="1" allowBlank="1" errorTitle="Código não cadastrado" error="Escolha um código de escola da lista." type="list">
      <formula1>='Entrada de Dados'!$A$6:$A$196</formula1>
    </dataValidation>
    <dataValidation sqref="G118" showDropDown="0" showInputMessage="0" showErrorMessage="1" allowBlank="1" errorTitle="Inválido" error="Não pode ser negativo." type="decimal" errorStyle="stop" operator="greaterThanOrEqual">
      <formula1>0</formula1>
    </dataValidation>
    <dataValidation sqref="H118" showDropDown="0" showInputMessage="0" showErrorMessage="1" allowBlank="1" errorTitle="Rejeição maior que o apresentado" error="A rejeição não pode ser maior que a quantidade apresentada." type="custom" errorStyle="stop">
      <formula1>AND(H118&gt;=0,H118&lt;=G118)</formula1>
    </dataValidation>
    <dataValidation sqref="A119" showDropDown="0" showInputMessage="0" showErrorMessage="1" allowBlank="1" errorTitle="Número de recebimento inválido" error="Escolha um número de recebimento já lançado na seção 1." type="list">
      <formula1>=$A$7:$A$56</formula1>
    </dataValidation>
    <dataValidation sqref="D119" showDropDown="0" showInputMessage="0" showErrorMessage="1" allowBlank="1" errorTitle="Código não cadastrado" error="Escolha um código de escola da lista." type="list">
      <formula1>='Entrada de Dados'!$A$6:$A$196</formula1>
    </dataValidation>
    <dataValidation sqref="G119" showDropDown="0" showInputMessage="0" showErrorMessage="1" allowBlank="1" errorTitle="Inválido" error="Não pode ser negativo." type="decimal" errorStyle="stop" operator="greaterThanOrEqual">
      <formula1>0</formula1>
    </dataValidation>
    <dataValidation sqref="H119" showDropDown="0" showInputMessage="0" showErrorMessage="1" allowBlank="1" errorTitle="Rejeição maior que o apresentado" error="A rejeição não pode ser maior que a quantidade apresentada." type="custom" errorStyle="stop">
      <formula1>AND(H119&gt;=0,H119&lt;=G119)</formula1>
    </dataValidation>
    <dataValidation sqref="A120" showDropDown="0" showInputMessage="0" showErrorMessage="1" allowBlank="1" errorTitle="Número de recebimento inválido" error="Escolha um número de recebimento já lançado na seção 1." type="list">
      <formula1>=$A$7:$A$56</formula1>
    </dataValidation>
    <dataValidation sqref="D120" showDropDown="0" showInputMessage="0" showErrorMessage="1" allowBlank="1" errorTitle="Código não cadastrado" error="Escolha um código de escola da lista." type="list">
      <formula1>='Entrada de Dados'!$A$6:$A$196</formula1>
    </dataValidation>
    <dataValidation sqref="G120" showDropDown="0" showInputMessage="0" showErrorMessage="1" allowBlank="1" errorTitle="Inválido" error="Não pode ser negativo." type="decimal" errorStyle="stop" operator="greaterThanOrEqual">
      <formula1>0</formula1>
    </dataValidation>
    <dataValidation sqref="H120" showDropDown="0" showInputMessage="0" showErrorMessage="1" allowBlank="1" errorTitle="Rejeição maior que o apresentado" error="A rejeição não pode ser maior que a quantidade apresentada." type="custom" errorStyle="stop">
      <formula1>AND(H120&gt;=0,H120&lt;=G120)</formula1>
    </dataValidation>
    <dataValidation sqref="A121" showDropDown="0" showInputMessage="0" showErrorMessage="1" allowBlank="1" errorTitle="Número de recebimento inválido" error="Escolha um número de recebimento já lançado na seção 1." type="list">
      <formula1>=$A$7:$A$56</formula1>
    </dataValidation>
    <dataValidation sqref="D121" showDropDown="0" showInputMessage="0" showErrorMessage="1" allowBlank="1" errorTitle="Código não cadastrado" error="Escolha um código de escola da lista." type="list">
      <formula1>='Entrada de Dados'!$A$6:$A$196</formula1>
    </dataValidation>
    <dataValidation sqref="G121" showDropDown="0" showInputMessage="0" showErrorMessage="1" allowBlank="1" errorTitle="Inválido" error="Não pode ser negativo." type="decimal" errorStyle="stop" operator="greaterThanOrEqual">
      <formula1>0</formula1>
    </dataValidation>
    <dataValidation sqref="H121" showDropDown="0" showInputMessage="0" showErrorMessage="1" allowBlank="1" errorTitle="Rejeição maior que o apresentado" error="A rejeição não pode ser maior que a quantidade apresentada." type="custom" errorStyle="stop">
      <formula1>AND(H121&gt;=0,H121&lt;=G121)</formula1>
    </dataValidation>
    <dataValidation sqref="A122" showDropDown="0" showInputMessage="0" showErrorMessage="1" allowBlank="1" errorTitle="Número de recebimento inválido" error="Escolha um número de recebimento já lançado na seção 1." type="list">
      <formula1>=$A$7:$A$56</formula1>
    </dataValidation>
    <dataValidation sqref="D122" showDropDown="0" showInputMessage="0" showErrorMessage="1" allowBlank="1" errorTitle="Código não cadastrado" error="Escolha um código de escola da lista." type="list">
      <formula1>='Entrada de Dados'!$A$6:$A$196</formula1>
    </dataValidation>
    <dataValidation sqref="G122" showDropDown="0" showInputMessage="0" showErrorMessage="1" allowBlank="1" errorTitle="Inválido" error="Não pode ser negativo." type="decimal" errorStyle="stop" operator="greaterThanOrEqual">
      <formula1>0</formula1>
    </dataValidation>
    <dataValidation sqref="H122" showDropDown="0" showInputMessage="0" showErrorMessage="1" allowBlank="1" errorTitle="Rejeição maior que o apresentado" error="A rejeição não pode ser maior que a quantidade apresentada." type="custom" errorStyle="stop">
      <formula1>AND(H122&gt;=0,H122&lt;=G122)</formula1>
    </dataValidation>
    <dataValidation sqref="A123" showDropDown="0" showInputMessage="0" showErrorMessage="1" allowBlank="1" errorTitle="Número de recebimento inválido" error="Escolha um número de recebimento já lançado na seção 1." type="list">
      <formula1>=$A$7:$A$56</formula1>
    </dataValidation>
    <dataValidation sqref="D123" showDropDown="0" showInputMessage="0" showErrorMessage="1" allowBlank="1" errorTitle="Código não cadastrado" error="Escolha um código de escola da lista." type="list">
      <formula1>='Entrada de Dados'!$A$6:$A$196</formula1>
    </dataValidation>
    <dataValidation sqref="G123" showDropDown="0" showInputMessage="0" showErrorMessage="1" allowBlank="1" errorTitle="Inválido" error="Não pode ser negativo." type="decimal" errorStyle="stop" operator="greaterThanOrEqual">
      <formula1>0</formula1>
    </dataValidation>
    <dataValidation sqref="H123" showDropDown="0" showInputMessage="0" showErrorMessage="1" allowBlank="1" errorTitle="Rejeição maior que o apresentado" error="A rejeição não pode ser maior que a quantidade apresentada." type="custom" errorStyle="stop">
      <formula1>AND(H123&gt;=0,H123&lt;=G123)</formula1>
    </dataValidation>
    <dataValidation sqref="A124" showDropDown="0" showInputMessage="0" showErrorMessage="1" allowBlank="1" errorTitle="Número de recebimento inválido" error="Escolha um número de recebimento já lançado na seção 1." type="list">
      <formula1>=$A$7:$A$56</formula1>
    </dataValidation>
    <dataValidation sqref="D124" showDropDown="0" showInputMessage="0" showErrorMessage="1" allowBlank="1" errorTitle="Código não cadastrado" error="Escolha um código de escola da lista." type="list">
      <formula1>='Entrada de Dados'!$A$6:$A$196</formula1>
    </dataValidation>
    <dataValidation sqref="G124" showDropDown="0" showInputMessage="0" showErrorMessage="1" allowBlank="1" errorTitle="Inválido" error="Não pode ser negativo." type="decimal" errorStyle="stop" operator="greaterThanOrEqual">
      <formula1>0</formula1>
    </dataValidation>
    <dataValidation sqref="H124" showDropDown="0" showInputMessage="0" showErrorMessage="1" allowBlank="1" errorTitle="Rejeição maior que o apresentado" error="A rejeição não pode ser maior que a quantidade apresentada." type="custom" errorStyle="stop">
      <formula1>AND(H124&gt;=0,H124&lt;=G124)</formula1>
    </dataValidation>
    <dataValidation sqref="A125" showDropDown="0" showInputMessage="0" showErrorMessage="1" allowBlank="1" errorTitle="Número de recebimento inválido" error="Escolha um número de recebimento já lançado na seção 1." type="list">
      <formula1>=$A$7:$A$56</formula1>
    </dataValidation>
    <dataValidation sqref="D125" showDropDown="0" showInputMessage="0" showErrorMessage="1" allowBlank="1" errorTitle="Código não cadastrado" error="Escolha um código de escola da lista." type="list">
      <formula1>='Entrada de Dados'!$A$6:$A$196</formula1>
    </dataValidation>
    <dataValidation sqref="G125" showDropDown="0" showInputMessage="0" showErrorMessage="1" allowBlank="1" errorTitle="Inválido" error="Não pode ser negativo." type="decimal" errorStyle="stop" operator="greaterThanOrEqual">
      <formula1>0</formula1>
    </dataValidation>
    <dataValidation sqref="H125" showDropDown="0" showInputMessage="0" showErrorMessage="1" allowBlank="1" errorTitle="Rejeição maior que o apresentado" error="A rejeição não pode ser maior que a quantidade apresentada." type="custom" errorStyle="stop">
      <formula1>AND(H125&gt;=0,H125&lt;=G125)</formula1>
    </dataValidation>
    <dataValidation sqref="A126" showDropDown="0" showInputMessage="0" showErrorMessage="1" allowBlank="1" errorTitle="Número de recebimento inválido" error="Escolha um número de recebimento já lançado na seção 1." type="list">
      <formula1>=$A$7:$A$56</formula1>
    </dataValidation>
    <dataValidation sqref="D126" showDropDown="0" showInputMessage="0" showErrorMessage="1" allowBlank="1" errorTitle="Código não cadastrado" error="Escolha um código de escola da lista." type="list">
      <formula1>='Entrada de Dados'!$A$6:$A$196</formula1>
    </dataValidation>
    <dataValidation sqref="G126" showDropDown="0" showInputMessage="0" showErrorMessage="1" allowBlank="1" errorTitle="Inválido" error="Não pode ser negativo." type="decimal" errorStyle="stop" operator="greaterThanOrEqual">
      <formula1>0</formula1>
    </dataValidation>
    <dataValidation sqref="H126" showDropDown="0" showInputMessage="0" showErrorMessage="1" allowBlank="1" errorTitle="Rejeição maior que o apresentado" error="A rejeição não pode ser maior que a quantidade apresentada." type="custom" errorStyle="stop">
      <formula1>AND(H126&gt;=0,H126&lt;=G126)</formula1>
    </dataValidation>
    <dataValidation sqref="A127" showDropDown="0" showInputMessage="0" showErrorMessage="1" allowBlank="1" errorTitle="Número de recebimento inválido" error="Escolha um número de recebimento já lançado na seção 1." type="list">
      <formula1>=$A$7:$A$56</formula1>
    </dataValidation>
    <dataValidation sqref="D127" showDropDown="0" showInputMessage="0" showErrorMessage="1" allowBlank="1" errorTitle="Código não cadastrado" error="Escolha um código de escola da lista." type="list">
      <formula1>='Entrada de Dados'!$A$6:$A$196</formula1>
    </dataValidation>
    <dataValidation sqref="G127" showDropDown="0" showInputMessage="0" showErrorMessage="1" allowBlank="1" errorTitle="Inválido" error="Não pode ser negativo." type="decimal" errorStyle="stop" operator="greaterThanOrEqual">
      <formula1>0</formula1>
    </dataValidation>
    <dataValidation sqref="H127" showDropDown="0" showInputMessage="0" showErrorMessage="1" allowBlank="1" errorTitle="Rejeição maior que o apresentado" error="A rejeição não pode ser maior que a quantidade apresentada." type="custom" errorStyle="stop">
      <formula1>AND(H127&gt;=0,H127&lt;=G127)</formula1>
    </dataValidation>
    <dataValidation sqref="A128" showDropDown="0" showInputMessage="0" showErrorMessage="1" allowBlank="1" errorTitle="Número de recebimento inválido" error="Escolha um número de recebimento já lançado na seção 1." type="list">
      <formula1>=$A$7:$A$56</formula1>
    </dataValidation>
    <dataValidation sqref="D128" showDropDown="0" showInputMessage="0" showErrorMessage="1" allowBlank="1" errorTitle="Código não cadastrado" error="Escolha um código de escola da lista." type="list">
      <formula1>='Entrada de Dados'!$A$6:$A$196</formula1>
    </dataValidation>
    <dataValidation sqref="G128" showDropDown="0" showInputMessage="0" showErrorMessage="1" allowBlank="1" errorTitle="Inválido" error="Não pode ser negativo." type="decimal" errorStyle="stop" operator="greaterThanOrEqual">
      <formula1>0</formula1>
    </dataValidation>
    <dataValidation sqref="H128" showDropDown="0" showInputMessage="0" showErrorMessage="1" allowBlank="1" errorTitle="Rejeição maior que o apresentado" error="A rejeição não pode ser maior que a quantidade apresentada." type="custom" errorStyle="stop">
      <formula1>AND(H128&gt;=0,H128&lt;=G128)</formula1>
    </dataValidation>
    <dataValidation sqref="A129" showDropDown="0" showInputMessage="0" showErrorMessage="1" allowBlank="1" errorTitle="Número de recebimento inválido" error="Escolha um número de recebimento já lançado na seção 1." type="list">
      <formula1>=$A$7:$A$56</formula1>
    </dataValidation>
    <dataValidation sqref="D129" showDropDown="0" showInputMessage="0" showErrorMessage="1" allowBlank="1" errorTitle="Código não cadastrado" error="Escolha um código de escola da lista." type="list">
      <formula1>='Entrada de Dados'!$A$6:$A$196</formula1>
    </dataValidation>
    <dataValidation sqref="G129" showDropDown="0" showInputMessage="0" showErrorMessage="1" allowBlank="1" errorTitle="Inválido" error="Não pode ser negativo." type="decimal" errorStyle="stop" operator="greaterThanOrEqual">
      <formula1>0</formula1>
    </dataValidation>
    <dataValidation sqref="H129" showDropDown="0" showInputMessage="0" showErrorMessage="1" allowBlank="1" errorTitle="Rejeição maior que o apresentado" error="A rejeição não pode ser maior que a quantidade apresentada." type="custom" errorStyle="stop">
      <formula1>AND(H129&gt;=0,H129&lt;=G129)</formula1>
    </dataValidation>
    <dataValidation sqref="A130" showDropDown="0" showInputMessage="0" showErrorMessage="1" allowBlank="1" errorTitle="Número de recebimento inválido" error="Escolha um número de recebimento já lançado na seção 1." type="list">
      <formula1>=$A$7:$A$56</formula1>
    </dataValidation>
    <dataValidation sqref="D130" showDropDown="0" showInputMessage="0" showErrorMessage="1" allowBlank="1" errorTitle="Código não cadastrado" error="Escolha um código de escola da lista." type="list">
      <formula1>='Entrada de Dados'!$A$6:$A$196</formula1>
    </dataValidation>
    <dataValidation sqref="G130" showDropDown="0" showInputMessage="0" showErrorMessage="1" allowBlank="1" errorTitle="Inválido" error="Não pode ser negativo." type="decimal" errorStyle="stop" operator="greaterThanOrEqual">
      <formula1>0</formula1>
    </dataValidation>
    <dataValidation sqref="H130" showDropDown="0" showInputMessage="0" showErrorMessage="1" allowBlank="1" errorTitle="Rejeição maior que o apresentado" error="A rejeição não pode ser maior que a quantidade apresentada." type="custom" errorStyle="stop">
      <formula1>AND(H130&gt;=0,H130&lt;=G130)</formula1>
    </dataValidation>
    <dataValidation sqref="A131" showDropDown="0" showInputMessage="0" showErrorMessage="1" allowBlank="1" errorTitle="Número de recebimento inválido" error="Escolha um número de recebimento já lançado na seção 1." type="list">
      <formula1>=$A$7:$A$56</formula1>
    </dataValidation>
    <dataValidation sqref="D131" showDropDown="0" showInputMessage="0" showErrorMessage="1" allowBlank="1" errorTitle="Código não cadastrado" error="Escolha um código de escola da lista." type="list">
      <formula1>='Entrada de Dados'!$A$6:$A$196</formula1>
    </dataValidation>
    <dataValidation sqref="G131" showDropDown="0" showInputMessage="0" showErrorMessage="1" allowBlank="1" errorTitle="Inválido" error="Não pode ser negativo." type="decimal" errorStyle="stop" operator="greaterThanOrEqual">
      <formula1>0</formula1>
    </dataValidation>
    <dataValidation sqref="H131" showDropDown="0" showInputMessage="0" showErrorMessage="1" allowBlank="1" errorTitle="Rejeição maior que o apresentado" error="A rejeição não pode ser maior que a quantidade apresentada." type="custom" errorStyle="stop">
      <formula1>AND(H131&gt;=0,H131&lt;=G131)</formula1>
    </dataValidation>
    <dataValidation sqref="A132" showDropDown="0" showInputMessage="0" showErrorMessage="1" allowBlank="1" errorTitle="Número de recebimento inválido" error="Escolha um número de recebimento já lançado na seção 1." type="list">
      <formula1>=$A$7:$A$56</formula1>
    </dataValidation>
    <dataValidation sqref="D132" showDropDown="0" showInputMessage="0" showErrorMessage="1" allowBlank="1" errorTitle="Código não cadastrado" error="Escolha um código de escola da lista." type="list">
      <formula1>='Entrada de Dados'!$A$6:$A$196</formula1>
    </dataValidation>
    <dataValidation sqref="G132" showDropDown="0" showInputMessage="0" showErrorMessage="1" allowBlank="1" errorTitle="Inválido" error="Não pode ser negativo." type="decimal" errorStyle="stop" operator="greaterThanOrEqual">
      <formula1>0</formula1>
    </dataValidation>
    <dataValidation sqref="H132" showDropDown="0" showInputMessage="0" showErrorMessage="1" allowBlank="1" errorTitle="Rejeição maior que o apresentado" error="A rejeição não pode ser maior que a quantidade apresentada." type="custom" errorStyle="stop">
      <formula1>AND(H132&gt;=0,H132&lt;=G132)</formula1>
    </dataValidation>
    <dataValidation sqref="A133" showDropDown="0" showInputMessage="0" showErrorMessage="1" allowBlank="1" errorTitle="Número de recebimento inválido" error="Escolha um número de recebimento já lançado na seção 1." type="list">
      <formula1>=$A$7:$A$56</formula1>
    </dataValidation>
    <dataValidation sqref="D133" showDropDown="0" showInputMessage="0" showErrorMessage="1" allowBlank="1" errorTitle="Código não cadastrado" error="Escolha um código de escola da lista." type="list">
      <formula1>='Entrada de Dados'!$A$6:$A$196</formula1>
    </dataValidation>
    <dataValidation sqref="G133" showDropDown="0" showInputMessage="0" showErrorMessage="1" allowBlank="1" errorTitle="Inválido" error="Não pode ser negativo." type="decimal" errorStyle="stop" operator="greaterThanOrEqual">
      <formula1>0</formula1>
    </dataValidation>
    <dataValidation sqref="H133" showDropDown="0" showInputMessage="0" showErrorMessage="1" allowBlank="1" errorTitle="Rejeição maior que o apresentado" error="A rejeição não pode ser maior que a quantidade apresentada." type="custom" errorStyle="stop">
      <formula1>AND(H133&gt;=0,H133&lt;=G133)</formula1>
    </dataValidation>
    <dataValidation sqref="A134" showDropDown="0" showInputMessage="0" showErrorMessage="1" allowBlank="1" errorTitle="Número de recebimento inválido" error="Escolha um número de recebimento já lançado na seção 1." type="list">
      <formula1>=$A$7:$A$56</formula1>
    </dataValidation>
    <dataValidation sqref="D134" showDropDown="0" showInputMessage="0" showErrorMessage="1" allowBlank="1" errorTitle="Código não cadastrado" error="Escolha um código de escola da lista." type="list">
      <formula1>='Entrada de Dados'!$A$6:$A$196</formula1>
    </dataValidation>
    <dataValidation sqref="G134" showDropDown="0" showInputMessage="0" showErrorMessage="1" allowBlank="1" errorTitle="Inválido" error="Não pode ser negativo." type="decimal" errorStyle="stop" operator="greaterThanOrEqual">
      <formula1>0</formula1>
    </dataValidation>
    <dataValidation sqref="H134" showDropDown="0" showInputMessage="0" showErrorMessage="1" allowBlank="1" errorTitle="Rejeição maior que o apresentado" error="A rejeição não pode ser maior que a quantidade apresentada." type="custom" errorStyle="stop">
      <formula1>AND(H134&gt;=0,H134&lt;=G134)</formula1>
    </dataValidation>
    <dataValidation sqref="A135" showDropDown="0" showInputMessage="0" showErrorMessage="1" allowBlank="1" errorTitle="Número de recebimento inválido" error="Escolha um número de recebimento já lançado na seção 1." type="list">
      <formula1>=$A$7:$A$56</formula1>
    </dataValidation>
    <dataValidation sqref="D135" showDropDown="0" showInputMessage="0" showErrorMessage="1" allowBlank="1" errorTitle="Código não cadastrado" error="Escolha um código de escola da lista." type="list">
      <formula1>='Entrada de Dados'!$A$6:$A$196</formula1>
    </dataValidation>
    <dataValidation sqref="G135" showDropDown="0" showInputMessage="0" showErrorMessage="1" allowBlank="1" errorTitle="Inválido" error="Não pode ser negativo." type="decimal" errorStyle="stop" operator="greaterThanOrEqual">
      <formula1>0</formula1>
    </dataValidation>
    <dataValidation sqref="H135" showDropDown="0" showInputMessage="0" showErrorMessage="1" allowBlank="1" errorTitle="Rejeição maior que o apresentado" error="A rejeição não pode ser maior que a quantidade apresentada." type="custom" errorStyle="stop">
      <formula1>AND(H135&gt;=0,H135&lt;=G135)</formula1>
    </dataValidation>
    <dataValidation sqref="A136" showDropDown="0" showInputMessage="0" showErrorMessage="1" allowBlank="1" errorTitle="Número de recebimento inválido" error="Escolha um número de recebimento já lançado na seção 1." type="list">
      <formula1>=$A$7:$A$56</formula1>
    </dataValidation>
    <dataValidation sqref="D136" showDropDown="0" showInputMessage="0" showErrorMessage="1" allowBlank="1" errorTitle="Código não cadastrado" error="Escolha um código de escola da lista." type="list">
      <formula1>='Entrada de Dados'!$A$6:$A$196</formula1>
    </dataValidation>
    <dataValidation sqref="G136" showDropDown="0" showInputMessage="0" showErrorMessage="1" allowBlank="1" errorTitle="Inválido" error="Não pode ser negativo." type="decimal" errorStyle="stop" operator="greaterThanOrEqual">
      <formula1>0</formula1>
    </dataValidation>
    <dataValidation sqref="H136" showDropDown="0" showInputMessage="0" showErrorMessage="1" allowBlank="1" errorTitle="Rejeição maior que o apresentado" error="A rejeição não pode ser maior que a quantidade apresentada." type="custom" errorStyle="stop">
      <formula1>AND(H136&gt;=0,H136&lt;=G136)</formula1>
    </dataValidation>
    <dataValidation sqref="A137" showDropDown="0" showInputMessage="0" showErrorMessage="1" allowBlank="1" errorTitle="Número de recebimento inválido" error="Escolha um número de recebimento já lançado na seção 1." type="list">
      <formula1>=$A$7:$A$56</formula1>
    </dataValidation>
    <dataValidation sqref="D137" showDropDown="0" showInputMessage="0" showErrorMessage="1" allowBlank="1" errorTitle="Código não cadastrado" error="Escolha um código de escola da lista." type="list">
      <formula1>='Entrada de Dados'!$A$6:$A$196</formula1>
    </dataValidation>
    <dataValidation sqref="G137" showDropDown="0" showInputMessage="0" showErrorMessage="1" allowBlank="1" errorTitle="Inválido" error="Não pode ser negativo." type="decimal" errorStyle="stop" operator="greaterThanOrEqual">
      <formula1>0</formula1>
    </dataValidation>
    <dataValidation sqref="H137" showDropDown="0" showInputMessage="0" showErrorMessage="1" allowBlank="1" errorTitle="Rejeição maior que o apresentado" error="A rejeição não pode ser maior que a quantidade apresentada." type="custom" errorStyle="stop">
      <formula1>AND(H137&gt;=0,H137&lt;=G137)</formula1>
    </dataValidation>
    <dataValidation sqref="A138" showDropDown="0" showInputMessage="0" showErrorMessage="1" allowBlank="1" errorTitle="Número de recebimento inválido" error="Escolha um número de recebimento já lançado na seção 1." type="list">
      <formula1>=$A$7:$A$56</formula1>
    </dataValidation>
    <dataValidation sqref="D138" showDropDown="0" showInputMessage="0" showErrorMessage="1" allowBlank="1" errorTitle="Código não cadastrado" error="Escolha um código de escola da lista." type="list">
      <formula1>='Entrada de Dados'!$A$6:$A$196</formula1>
    </dataValidation>
    <dataValidation sqref="G138" showDropDown="0" showInputMessage="0" showErrorMessage="1" allowBlank="1" errorTitle="Inválido" error="Não pode ser negativo." type="decimal" errorStyle="stop" operator="greaterThanOrEqual">
      <formula1>0</formula1>
    </dataValidation>
    <dataValidation sqref="H138" showDropDown="0" showInputMessage="0" showErrorMessage="1" allowBlank="1" errorTitle="Rejeição maior que o apresentado" error="A rejeição não pode ser maior que a quantidade apresentada." type="custom" errorStyle="stop">
      <formula1>AND(H138&gt;=0,H138&lt;=G138)</formula1>
    </dataValidation>
    <dataValidation sqref="A139" showDropDown="0" showInputMessage="0" showErrorMessage="1" allowBlank="1" errorTitle="Número de recebimento inválido" error="Escolha um número de recebimento já lançado na seção 1." type="list">
      <formula1>=$A$7:$A$56</formula1>
    </dataValidation>
    <dataValidation sqref="D139" showDropDown="0" showInputMessage="0" showErrorMessage="1" allowBlank="1" errorTitle="Código não cadastrado" error="Escolha um código de escola da lista." type="list">
      <formula1>='Entrada de Dados'!$A$6:$A$196</formula1>
    </dataValidation>
    <dataValidation sqref="G139" showDropDown="0" showInputMessage="0" showErrorMessage="1" allowBlank="1" errorTitle="Inválido" error="Não pode ser negativo." type="decimal" errorStyle="stop" operator="greaterThanOrEqual">
      <formula1>0</formula1>
    </dataValidation>
    <dataValidation sqref="H139" showDropDown="0" showInputMessage="0" showErrorMessage="1" allowBlank="1" errorTitle="Rejeição maior que o apresentado" error="A rejeição não pode ser maior que a quantidade apresentada." type="custom" errorStyle="stop">
      <formula1>AND(H139&gt;=0,H139&lt;=G139)</formula1>
    </dataValidation>
    <dataValidation sqref="A140" showDropDown="0" showInputMessage="0" showErrorMessage="1" allowBlank="1" errorTitle="Número de recebimento inválido" error="Escolha um número de recebimento já lançado na seção 1." type="list">
      <formula1>=$A$7:$A$56</formula1>
    </dataValidation>
    <dataValidation sqref="D140" showDropDown="0" showInputMessage="0" showErrorMessage="1" allowBlank="1" errorTitle="Código não cadastrado" error="Escolha um código de escola da lista." type="list">
      <formula1>='Entrada de Dados'!$A$6:$A$196</formula1>
    </dataValidation>
    <dataValidation sqref="G140" showDropDown="0" showInputMessage="0" showErrorMessage="1" allowBlank="1" errorTitle="Inválido" error="Não pode ser negativo." type="decimal" errorStyle="stop" operator="greaterThanOrEqual">
      <formula1>0</formula1>
    </dataValidation>
    <dataValidation sqref="H140" showDropDown="0" showInputMessage="0" showErrorMessage="1" allowBlank="1" errorTitle="Rejeição maior que o apresentado" error="A rejeição não pode ser maior que a quantidade apresentada." type="custom" errorStyle="stop">
      <formula1>AND(H140&gt;=0,H140&lt;=G140)</formula1>
    </dataValidation>
    <dataValidation sqref="A141" showDropDown="0" showInputMessage="0" showErrorMessage="1" allowBlank="1" errorTitle="Número de recebimento inválido" error="Escolha um número de recebimento já lançado na seção 1." type="list">
      <formula1>=$A$7:$A$56</formula1>
    </dataValidation>
    <dataValidation sqref="D141" showDropDown="0" showInputMessage="0" showErrorMessage="1" allowBlank="1" errorTitle="Código não cadastrado" error="Escolha um código de escola da lista." type="list">
      <formula1>='Entrada de Dados'!$A$6:$A$196</formula1>
    </dataValidation>
    <dataValidation sqref="G141" showDropDown="0" showInputMessage="0" showErrorMessage="1" allowBlank="1" errorTitle="Inválido" error="Não pode ser negativo." type="decimal" errorStyle="stop" operator="greaterThanOrEqual">
      <formula1>0</formula1>
    </dataValidation>
    <dataValidation sqref="H141" showDropDown="0" showInputMessage="0" showErrorMessage="1" allowBlank="1" errorTitle="Rejeição maior que o apresentado" error="A rejeição não pode ser maior que a quantidade apresentada." type="custom" errorStyle="stop">
      <formula1>AND(H141&gt;=0,H141&lt;=G141)</formula1>
    </dataValidation>
    <dataValidation sqref="A142" showDropDown="0" showInputMessage="0" showErrorMessage="1" allowBlank="1" errorTitle="Número de recebimento inválido" error="Escolha um número de recebimento já lançado na seção 1." type="list">
      <formula1>=$A$7:$A$56</formula1>
    </dataValidation>
    <dataValidation sqref="D142" showDropDown="0" showInputMessage="0" showErrorMessage="1" allowBlank="1" errorTitle="Código não cadastrado" error="Escolha um código de escola da lista." type="list">
      <formula1>='Entrada de Dados'!$A$6:$A$196</formula1>
    </dataValidation>
    <dataValidation sqref="G142" showDropDown="0" showInputMessage="0" showErrorMessage="1" allowBlank="1" errorTitle="Inválido" error="Não pode ser negativo." type="decimal" errorStyle="stop" operator="greaterThanOrEqual">
      <formula1>0</formula1>
    </dataValidation>
    <dataValidation sqref="H142" showDropDown="0" showInputMessage="0" showErrorMessage="1" allowBlank="1" errorTitle="Rejeição maior que o apresentado" error="A rejeição não pode ser maior que a quantidade apresentada." type="custom" errorStyle="stop">
      <formula1>AND(H142&gt;=0,H142&lt;=G142)</formula1>
    </dataValidation>
    <dataValidation sqref="A143" showDropDown="0" showInputMessage="0" showErrorMessage="1" allowBlank="1" errorTitle="Número de recebimento inválido" error="Escolha um número de recebimento já lançado na seção 1." type="list">
      <formula1>=$A$7:$A$56</formula1>
    </dataValidation>
    <dataValidation sqref="D143" showDropDown="0" showInputMessage="0" showErrorMessage="1" allowBlank="1" errorTitle="Código não cadastrado" error="Escolha um código de escola da lista." type="list">
      <formula1>='Entrada de Dados'!$A$6:$A$196</formula1>
    </dataValidation>
    <dataValidation sqref="G143" showDropDown="0" showInputMessage="0" showErrorMessage="1" allowBlank="1" errorTitle="Inválido" error="Não pode ser negativo." type="decimal" errorStyle="stop" operator="greaterThanOrEqual">
      <formula1>0</formula1>
    </dataValidation>
    <dataValidation sqref="H143" showDropDown="0" showInputMessage="0" showErrorMessage="1" allowBlank="1" errorTitle="Rejeição maior que o apresentado" error="A rejeição não pode ser maior que a quantidade apresentada." type="custom" errorStyle="stop">
      <formula1>AND(H143&gt;=0,H143&lt;=G143)</formula1>
    </dataValidation>
    <dataValidation sqref="A144" showDropDown="0" showInputMessage="0" showErrorMessage="1" allowBlank="1" errorTitle="Número de recebimento inválido" error="Escolha um número de recebimento já lançado na seção 1." type="list">
      <formula1>=$A$7:$A$56</formula1>
    </dataValidation>
    <dataValidation sqref="D144" showDropDown="0" showInputMessage="0" showErrorMessage="1" allowBlank="1" errorTitle="Código não cadastrado" error="Escolha um código de escola da lista." type="list">
      <formula1>='Entrada de Dados'!$A$6:$A$196</formula1>
    </dataValidation>
    <dataValidation sqref="G144" showDropDown="0" showInputMessage="0" showErrorMessage="1" allowBlank="1" errorTitle="Inválido" error="Não pode ser negativo." type="decimal" errorStyle="stop" operator="greaterThanOrEqual">
      <formula1>0</formula1>
    </dataValidation>
    <dataValidation sqref="H144" showDropDown="0" showInputMessage="0" showErrorMessage="1" allowBlank="1" errorTitle="Rejeição maior que o apresentado" error="A rejeição não pode ser maior que a quantidade apresentada." type="custom" errorStyle="stop">
      <formula1>AND(H144&gt;=0,H144&lt;=G144)</formula1>
    </dataValidation>
    <dataValidation sqref="A145" showDropDown="0" showInputMessage="0" showErrorMessage="1" allowBlank="1" errorTitle="Número de recebimento inválido" error="Escolha um número de recebimento já lançado na seção 1." type="list">
      <formula1>=$A$7:$A$56</formula1>
    </dataValidation>
    <dataValidation sqref="D145" showDropDown="0" showInputMessage="0" showErrorMessage="1" allowBlank="1" errorTitle="Código não cadastrado" error="Escolha um código de escola da lista." type="list">
      <formula1>='Entrada de Dados'!$A$6:$A$196</formula1>
    </dataValidation>
    <dataValidation sqref="G145" showDropDown="0" showInputMessage="0" showErrorMessage="1" allowBlank="1" errorTitle="Inválido" error="Não pode ser negativo." type="decimal" errorStyle="stop" operator="greaterThanOrEqual">
      <formula1>0</formula1>
    </dataValidation>
    <dataValidation sqref="H145" showDropDown="0" showInputMessage="0" showErrorMessage="1" allowBlank="1" errorTitle="Rejeição maior que o apresentado" error="A rejeição não pode ser maior que a quantidade apresentada." type="custom" errorStyle="stop">
      <formula1>AND(H145&gt;=0,H145&lt;=G145)</formula1>
    </dataValidation>
    <dataValidation sqref="A146" showDropDown="0" showInputMessage="0" showErrorMessage="1" allowBlank="1" errorTitle="Número de recebimento inválido" error="Escolha um número de recebimento já lançado na seção 1." type="list">
      <formula1>=$A$7:$A$56</formula1>
    </dataValidation>
    <dataValidation sqref="D146" showDropDown="0" showInputMessage="0" showErrorMessage="1" allowBlank="1" errorTitle="Código não cadastrado" error="Escolha um código de escola da lista." type="list">
      <formula1>='Entrada de Dados'!$A$6:$A$196</formula1>
    </dataValidation>
    <dataValidation sqref="G146" showDropDown="0" showInputMessage="0" showErrorMessage="1" allowBlank="1" errorTitle="Inválido" error="Não pode ser negativo." type="decimal" errorStyle="stop" operator="greaterThanOrEqual">
      <formula1>0</formula1>
    </dataValidation>
    <dataValidation sqref="H146" showDropDown="0" showInputMessage="0" showErrorMessage="1" allowBlank="1" errorTitle="Rejeição maior que o apresentado" error="A rejeição não pode ser maior que a quantidade apresentada." type="custom" errorStyle="stop">
      <formula1>AND(H146&gt;=0,H146&lt;=G146)</formula1>
    </dataValidation>
    <dataValidation sqref="A147" showDropDown="0" showInputMessage="0" showErrorMessage="1" allowBlank="1" errorTitle="Número de recebimento inválido" error="Escolha um número de recebimento já lançado na seção 1." type="list">
      <formula1>=$A$7:$A$56</formula1>
    </dataValidation>
    <dataValidation sqref="D147" showDropDown="0" showInputMessage="0" showErrorMessage="1" allowBlank="1" errorTitle="Código não cadastrado" error="Escolha um código de escola da lista." type="list">
      <formula1>='Entrada de Dados'!$A$6:$A$196</formula1>
    </dataValidation>
    <dataValidation sqref="G147" showDropDown="0" showInputMessage="0" showErrorMessage="1" allowBlank="1" errorTitle="Inválido" error="Não pode ser negativo." type="decimal" errorStyle="stop" operator="greaterThanOrEqual">
      <formula1>0</formula1>
    </dataValidation>
    <dataValidation sqref="H147" showDropDown="0" showInputMessage="0" showErrorMessage="1" allowBlank="1" errorTitle="Rejeição maior que o apresentado" error="A rejeição não pode ser maior que a quantidade apresentada." type="custom" errorStyle="stop">
      <formula1>AND(H147&gt;=0,H147&lt;=G147)</formula1>
    </dataValidation>
    <dataValidation sqref="A148" showDropDown="0" showInputMessage="0" showErrorMessage="1" allowBlank="1" errorTitle="Número de recebimento inválido" error="Escolha um número de recebimento já lançado na seção 1." type="list">
      <formula1>=$A$7:$A$56</formula1>
    </dataValidation>
    <dataValidation sqref="D148" showDropDown="0" showInputMessage="0" showErrorMessage="1" allowBlank="1" errorTitle="Código não cadastrado" error="Escolha um código de escola da lista." type="list">
      <formula1>='Entrada de Dados'!$A$6:$A$196</formula1>
    </dataValidation>
    <dataValidation sqref="G148" showDropDown="0" showInputMessage="0" showErrorMessage="1" allowBlank="1" errorTitle="Inválido" error="Não pode ser negativo." type="decimal" errorStyle="stop" operator="greaterThanOrEqual">
      <formula1>0</formula1>
    </dataValidation>
    <dataValidation sqref="H148" showDropDown="0" showInputMessage="0" showErrorMessage="1" allowBlank="1" errorTitle="Rejeição maior que o apresentado" error="A rejeição não pode ser maior que a quantidade apresentada." type="custom" errorStyle="stop">
      <formula1>AND(H148&gt;=0,H148&lt;=G148)</formula1>
    </dataValidation>
    <dataValidation sqref="A149" showDropDown="0" showInputMessage="0" showErrorMessage="1" allowBlank="1" errorTitle="Número de recebimento inválido" error="Escolha um número de recebimento já lançado na seção 1." type="list">
      <formula1>=$A$7:$A$56</formula1>
    </dataValidation>
    <dataValidation sqref="D149" showDropDown="0" showInputMessage="0" showErrorMessage="1" allowBlank="1" errorTitle="Código não cadastrado" error="Escolha um código de escola da lista." type="list">
      <formula1>='Entrada de Dados'!$A$6:$A$196</formula1>
    </dataValidation>
    <dataValidation sqref="G149" showDropDown="0" showInputMessage="0" showErrorMessage="1" allowBlank="1" errorTitle="Inválido" error="Não pode ser negativo." type="decimal" errorStyle="stop" operator="greaterThanOrEqual">
      <formula1>0</formula1>
    </dataValidation>
    <dataValidation sqref="H149" showDropDown="0" showInputMessage="0" showErrorMessage="1" allowBlank="1" errorTitle="Rejeição maior que o apresentado" error="A rejeição não pode ser maior que a quantidade apresentada." type="custom" errorStyle="stop">
      <formula1>AND(H149&gt;=0,H149&lt;=G149)</formula1>
    </dataValidation>
    <dataValidation sqref="A150" showDropDown="0" showInputMessage="0" showErrorMessage="1" allowBlank="1" errorTitle="Número de recebimento inválido" error="Escolha um número de recebimento já lançado na seção 1." type="list">
      <formula1>=$A$7:$A$56</formula1>
    </dataValidation>
    <dataValidation sqref="D150" showDropDown="0" showInputMessage="0" showErrorMessage="1" allowBlank="1" errorTitle="Código não cadastrado" error="Escolha um código de escola da lista." type="list">
      <formula1>='Entrada de Dados'!$A$6:$A$196</formula1>
    </dataValidation>
    <dataValidation sqref="G150" showDropDown="0" showInputMessage="0" showErrorMessage="1" allowBlank="1" errorTitle="Inválido" error="Não pode ser negativo." type="decimal" errorStyle="stop" operator="greaterThanOrEqual">
      <formula1>0</formula1>
    </dataValidation>
    <dataValidation sqref="H150" showDropDown="0" showInputMessage="0" showErrorMessage="1" allowBlank="1" errorTitle="Rejeição maior que o apresentado" error="A rejeição não pode ser maior que a quantidade apresentada." type="custom" errorStyle="stop">
      <formula1>AND(H150&gt;=0,H150&lt;=G150)</formula1>
    </dataValidation>
    <dataValidation sqref="A151" showDropDown="0" showInputMessage="0" showErrorMessage="1" allowBlank="1" errorTitle="Número de recebimento inválido" error="Escolha um número de recebimento já lançado na seção 1." type="list">
      <formula1>=$A$7:$A$56</formula1>
    </dataValidation>
    <dataValidation sqref="D151" showDropDown="0" showInputMessage="0" showErrorMessage="1" allowBlank="1" errorTitle="Código não cadastrado" error="Escolha um código de escola da lista." type="list">
      <formula1>='Entrada de Dados'!$A$6:$A$196</formula1>
    </dataValidation>
    <dataValidation sqref="G151" showDropDown="0" showInputMessage="0" showErrorMessage="1" allowBlank="1" errorTitle="Inválido" error="Não pode ser negativo." type="decimal" errorStyle="stop" operator="greaterThanOrEqual">
      <formula1>0</formula1>
    </dataValidation>
    <dataValidation sqref="H151" showDropDown="0" showInputMessage="0" showErrorMessage="1" allowBlank="1" errorTitle="Rejeição maior que o apresentado" error="A rejeição não pode ser maior que a quantidade apresentada." type="custom" errorStyle="stop">
      <formula1>AND(H151&gt;=0,H151&lt;=G151)</formula1>
    </dataValidation>
    <dataValidation sqref="A152" showDropDown="0" showInputMessage="0" showErrorMessage="1" allowBlank="1" errorTitle="Número de recebimento inválido" error="Escolha um número de recebimento já lançado na seção 1." type="list">
      <formula1>=$A$7:$A$56</formula1>
    </dataValidation>
    <dataValidation sqref="D152" showDropDown="0" showInputMessage="0" showErrorMessage="1" allowBlank="1" errorTitle="Código não cadastrado" error="Escolha um código de escola da lista." type="list">
      <formula1>='Entrada de Dados'!$A$6:$A$196</formula1>
    </dataValidation>
    <dataValidation sqref="G152" showDropDown="0" showInputMessage="0" showErrorMessage="1" allowBlank="1" errorTitle="Inválido" error="Não pode ser negativo." type="decimal" errorStyle="stop" operator="greaterThanOrEqual">
      <formula1>0</formula1>
    </dataValidation>
    <dataValidation sqref="H152" showDropDown="0" showInputMessage="0" showErrorMessage="1" allowBlank="1" errorTitle="Rejeição maior que o apresentado" error="A rejeição não pode ser maior que a quantidade apresentada." type="custom" errorStyle="stop">
      <formula1>AND(H152&gt;=0,H152&lt;=G152)</formula1>
    </dataValidation>
    <dataValidation sqref="A153" showDropDown="0" showInputMessage="0" showErrorMessage="1" allowBlank="1" errorTitle="Número de recebimento inválido" error="Escolha um número de recebimento já lançado na seção 1." type="list">
      <formula1>=$A$7:$A$56</formula1>
    </dataValidation>
    <dataValidation sqref="D153" showDropDown="0" showInputMessage="0" showErrorMessage="1" allowBlank="1" errorTitle="Código não cadastrado" error="Escolha um código de escola da lista." type="list">
      <formula1>='Entrada de Dados'!$A$6:$A$196</formula1>
    </dataValidation>
    <dataValidation sqref="G153" showDropDown="0" showInputMessage="0" showErrorMessage="1" allowBlank="1" errorTitle="Inválido" error="Não pode ser negativo." type="decimal" errorStyle="stop" operator="greaterThanOrEqual">
      <formula1>0</formula1>
    </dataValidation>
    <dataValidation sqref="H153" showDropDown="0" showInputMessage="0" showErrorMessage="1" allowBlank="1" errorTitle="Rejeição maior que o apresentado" error="A rejeição não pode ser maior que a quantidade apresentada." type="custom" errorStyle="stop">
      <formula1>AND(H153&gt;=0,H153&lt;=G153)</formula1>
    </dataValidation>
    <dataValidation sqref="A154" showDropDown="0" showInputMessage="0" showErrorMessage="1" allowBlank="1" errorTitle="Número de recebimento inválido" error="Escolha um número de recebimento já lançado na seção 1." type="list">
      <formula1>=$A$7:$A$56</formula1>
    </dataValidation>
    <dataValidation sqref="D154" showDropDown="0" showInputMessage="0" showErrorMessage="1" allowBlank="1" errorTitle="Código não cadastrado" error="Escolha um código de escola da lista." type="list">
      <formula1>='Entrada de Dados'!$A$6:$A$196</formula1>
    </dataValidation>
    <dataValidation sqref="G154" showDropDown="0" showInputMessage="0" showErrorMessage="1" allowBlank="1" errorTitle="Inválido" error="Não pode ser negativo." type="decimal" errorStyle="stop" operator="greaterThanOrEqual">
      <formula1>0</formula1>
    </dataValidation>
    <dataValidation sqref="H154" showDropDown="0" showInputMessage="0" showErrorMessage="1" allowBlank="1" errorTitle="Rejeição maior que o apresentado" error="A rejeição não pode ser maior que a quantidade apresentada." type="custom" errorStyle="stop">
      <formula1>AND(H154&gt;=0,H154&lt;=G154)</formula1>
    </dataValidation>
    <dataValidation sqref="A155" showDropDown="0" showInputMessage="0" showErrorMessage="1" allowBlank="1" errorTitle="Número de recebimento inválido" error="Escolha um número de recebimento já lançado na seção 1." type="list">
      <formula1>=$A$7:$A$56</formula1>
    </dataValidation>
    <dataValidation sqref="D155" showDropDown="0" showInputMessage="0" showErrorMessage="1" allowBlank="1" errorTitle="Código não cadastrado" error="Escolha um código de escola da lista." type="list">
      <formula1>='Entrada de Dados'!$A$6:$A$196</formula1>
    </dataValidation>
    <dataValidation sqref="G155" showDropDown="0" showInputMessage="0" showErrorMessage="1" allowBlank="1" errorTitle="Inválido" error="Não pode ser negativo." type="decimal" errorStyle="stop" operator="greaterThanOrEqual">
      <formula1>0</formula1>
    </dataValidation>
    <dataValidation sqref="H155" showDropDown="0" showInputMessage="0" showErrorMessage="1" allowBlank="1" errorTitle="Rejeição maior que o apresentado" error="A rejeição não pode ser maior que a quantidade apresentada." type="custom" errorStyle="stop">
      <formula1>AND(H155&gt;=0,H155&lt;=G155)</formula1>
    </dataValidation>
    <dataValidation sqref="A156" showDropDown="0" showInputMessage="0" showErrorMessage="1" allowBlank="1" errorTitle="Número de recebimento inválido" error="Escolha um número de recebimento já lançado na seção 1." type="list">
      <formula1>=$A$7:$A$56</formula1>
    </dataValidation>
    <dataValidation sqref="D156" showDropDown="0" showInputMessage="0" showErrorMessage="1" allowBlank="1" errorTitle="Código não cadastrado" error="Escolha um código de escola da lista." type="list">
      <formula1>='Entrada de Dados'!$A$6:$A$196</formula1>
    </dataValidation>
    <dataValidation sqref="G156" showDropDown="0" showInputMessage="0" showErrorMessage="1" allowBlank="1" errorTitle="Inválido" error="Não pode ser negativo." type="decimal" errorStyle="stop" operator="greaterThanOrEqual">
      <formula1>0</formula1>
    </dataValidation>
    <dataValidation sqref="H156" showDropDown="0" showInputMessage="0" showErrorMessage="1" allowBlank="1" errorTitle="Rejeição maior que o apresentado" error="A rejeição não pode ser maior que a quantidade apresentada." type="custom" errorStyle="stop">
      <formula1>AND(H156&gt;=0,H156&lt;=G156)</formula1>
    </dataValidation>
    <dataValidation sqref="A157" showDropDown="0" showInputMessage="0" showErrorMessage="1" allowBlank="1" errorTitle="Número de recebimento inválido" error="Escolha um número de recebimento já lançado na seção 1." type="list">
      <formula1>=$A$7:$A$56</formula1>
    </dataValidation>
    <dataValidation sqref="D157" showDropDown="0" showInputMessage="0" showErrorMessage="1" allowBlank="1" errorTitle="Código não cadastrado" error="Escolha um código de escola da lista." type="list">
      <formula1>='Entrada de Dados'!$A$6:$A$196</formula1>
    </dataValidation>
    <dataValidation sqref="G157" showDropDown="0" showInputMessage="0" showErrorMessage="1" allowBlank="1" errorTitle="Inválido" error="Não pode ser negativo." type="decimal" errorStyle="stop" operator="greaterThanOrEqual">
      <formula1>0</formula1>
    </dataValidation>
    <dataValidation sqref="H157" showDropDown="0" showInputMessage="0" showErrorMessage="1" allowBlank="1" errorTitle="Rejeição maior que o apresentado" error="A rejeição não pode ser maior que a quantidade apresentada." type="custom" errorStyle="stop">
      <formula1>AND(H157&gt;=0,H157&lt;=G157)</formula1>
    </dataValidation>
    <dataValidation sqref="A158" showDropDown="0" showInputMessage="0" showErrorMessage="1" allowBlank="1" errorTitle="Número de recebimento inválido" error="Escolha um número de recebimento já lançado na seção 1." type="list">
      <formula1>=$A$7:$A$56</formula1>
    </dataValidation>
    <dataValidation sqref="D158" showDropDown="0" showInputMessage="0" showErrorMessage="1" allowBlank="1" errorTitle="Código não cadastrado" error="Escolha um código de escola da lista." type="list">
      <formula1>='Entrada de Dados'!$A$6:$A$196</formula1>
    </dataValidation>
    <dataValidation sqref="G158" showDropDown="0" showInputMessage="0" showErrorMessage="1" allowBlank="1" errorTitle="Inválido" error="Não pode ser negativo." type="decimal" errorStyle="stop" operator="greaterThanOrEqual">
      <formula1>0</formula1>
    </dataValidation>
    <dataValidation sqref="H158" showDropDown="0" showInputMessage="0" showErrorMessage="1" allowBlank="1" errorTitle="Rejeição maior que o apresentado" error="A rejeição não pode ser maior que a quantidade apresentada." type="custom" errorStyle="stop">
      <formula1>AND(H158&gt;=0,H158&lt;=G158)</formula1>
    </dataValidation>
    <dataValidation sqref="A159" showDropDown="0" showInputMessage="0" showErrorMessage="1" allowBlank="1" errorTitle="Número de recebimento inválido" error="Escolha um número de recebimento já lançado na seção 1." type="list">
      <formula1>=$A$7:$A$56</formula1>
    </dataValidation>
    <dataValidation sqref="D159" showDropDown="0" showInputMessage="0" showErrorMessage="1" allowBlank="1" errorTitle="Código não cadastrado" error="Escolha um código de escola da lista." type="list">
      <formula1>='Entrada de Dados'!$A$6:$A$196</formula1>
    </dataValidation>
    <dataValidation sqref="G159" showDropDown="0" showInputMessage="0" showErrorMessage="1" allowBlank="1" errorTitle="Inválido" error="Não pode ser negativo." type="decimal" errorStyle="stop" operator="greaterThanOrEqual">
      <formula1>0</formula1>
    </dataValidation>
    <dataValidation sqref="H159" showDropDown="0" showInputMessage="0" showErrorMessage="1" allowBlank="1" errorTitle="Rejeição maior que o apresentado" error="A rejeição não pode ser maior que a quantidade apresentada." type="custom" errorStyle="stop">
      <formula1>AND(H159&gt;=0,H159&lt;=G159)</formula1>
    </dataValidation>
    <dataValidation sqref="A160" showDropDown="0" showInputMessage="0" showErrorMessage="1" allowBlank="1" errorTitle="Número de recebimento inválido" error="Escolha um número de recebimento já lançado na seção 1." type="list">
      <formula1>=$A$7:$A$56</formula1>
    </dataValidation>
    <dataValidation sqref="D160" showDropDown="0" showInputMessage="0" showErrorMessage="1" allowBlank="1" errorTitle="Código não cadastrado" error="Escolha um código de escola da lista." type="list">
      <formula1>='Entrada de Dados'!$A$6:$A$196</formula1>
    </dataValidation>
    <dataValidation sqref="G160" showDropDown="0" showInputMessage="0" showErrorMessage="1" allowBlank="1" errorTitle="Inválido" error="Não pode ser negativo." type="decimal" errorStyle="stop" operator="greaterThanOrEqual">
      <formula1>0</formula1>
    </dataValidation>
    <dataValidation sqref="H160" showDropDown="0" showInputMessage="0" showErrorMessage="1" allowBlank="1" errorTitle="Rejeição maior que o apresentado" error="A rejeição não pode ser maior que a quantidade apresentada." type="custom" errorStyle="stop">
      <formula1>AND(H160&gt;=0,H160&lt;=G160)</formula1>
    </dataValidation>
    <dataValidation sqref="A161" showDropDown="0" showInputMessage="0" showErrorMessage="1" allowBlank="1" errorTitle="Número de recebimento inválido" error="Escolha um número de recebimento já lançado na seção 1." type="list">
      <formula1>=$A$7:$A$56</formula1>
    </dataValidation>
    <dataValidation sqref="D161" showDropDown="0" showInputMessage="0" showErrorMessage="1" allowBlank="1" errorTitle="Código não cadastrado" error="Escolha um código de escola da lista." type="list">
      <formula1>='Entrada de Dados'!$A$6:$A$196</formula1>
    </dataValidation>
    <dataValidation sqref="G161" showDropDown="0" showInputMessage="0" showErrorMessage="1" allowBlank="1" errorTitle="Inválido" error="Não pode ser negativo." type="decimal" errorStyle="stop" operator="greaterThanOrEqual">
      <formula1>0</formula1>
    </dataValidation>
    <dataValidation sqref="H161" showDropDown="0" showInputMessage="0" showErrorMessage="1" allowBlank="1" errorTitle="Rejeição maior que o apresentado" error="A rejeição não pode ser maior que a quantidade apresentada." type="custom" errorStyle="stop">
      <formula1>AND(H161&gt;=0,H161&lt;=G161)</formula1>
    </dataValidation>
    <dataValidation sqref="A162" showDropDown="0" showInputMessage="0" showErrorMessage="1" allowBlank="1" errorTitle="Número de recebimento inválido" error="Escolha um número de recebimento já lançado na seção 1." type="list">
      <formula1>=$A$7:$A$56</formula1>
    </dataValidation>
    <dataValidation sqref="D162" showDropDown="0" showInputMessage="0" showErrorMessage="1" allowBlank="1" errorTitle="Código não cadastrado" error="Escolha um código de escola da lista." type="list">
      <formula1>='Entrada de Dados'!$A$6:$A$196</formula1>
    </dataValidation>
    <dataValidation sqref="G162" showDropDown="0" showInputMessage="0" showErrorMessage="1" allowBlank="1" errorTitle="Inválido" error="Não pode ser negativo." type="decimal" errorStyle="stop" operator="greaterThanOrEqual">
      <formula1>0</formula1>
    </dataValidation>
    <dataValidation sqref="H162" showDropDown="0" showInputMessage="0" showErrorMessage="1" allowBlank="1" errorTitle="Rejeição maior que o apresentado" error="A rejeição não pode ser maior que a quantidade apresentada." type="custom" errorStyle="stop">
      <formula1>AND(H162&gt;=0,H162&lt;=G162)</formula1>
    </dataValidation>
    <dataValidation sqref="A163" showDropDown="0" showInputMessage="0" showErrorMessage="1" allowBlank="1" errorTitle="Número de recebimento inválido" error="Escolha um número de recebimento já lançado na seção 1." type="list">
      <formula1>=$A$7:$A$56</formula1>
    </dataValidation>
    <dataValidation sqref="D163" showDropDown="0" showInputMessage="0" showErrorMessage="1" allowBlank="1" errorTitle="Código não cadastrado" error="Escolha um código de escola da lista." type="list">
      <formula1>='Entrada de Dados'!$A$6:$A$196</formula1>
    </dataValidation>
    <dataValidation sqref="G163" showDropDown="0" showInputMessage="0" showErrorMessage="1" allowBlank="1" errorTitle="Inválido" error="Não pode ser negativo." type="decimal" errorStyle="stop" operator="greaterThanOrEqual">
      <formula1>0</formula1>
    </dataValidation>
    <dataValidation sqref="H163" showDropDown="0" showInputMessage="0" showErrorMessage="1" allowBlank="1" errorTitle="Rejeição maior que o apresentado" error="A rejeição não pode ser maior que a quantidade apresentada." type="custom" errorStyle="stop">
      <formula1>AND(H163&gt;=0,H163&lt;=G163)</formula1>
    </dataValidation>
    <dataValidation sqref="A164" showDropDown="0" showInputMessage="0" showErrorMessage="1" allowBlank="1" errorTitle="Número de recebimento inválido" error="Escolha um número de recebimento já lançado na seção 1." type="list">
      <formula1>=$A$7:$A$56</formula1>
    </dataValidation>
    <dataValidation sqref="D164" showDropDown="0" showInputMessage="0" showErrorMessage="1" allowBlank="1" errorTitle="Código não cadastrado" error="Escolha um código de escola da lista." type="list">
      <formula1>='Entrada de Dados'!$A$6:$A$196</formula1>
    </dataValidation>
    <dataValidation sqref="G164" showDropDown="0" showInputMessage="0" showErrorMessage="1" allowBlank="1" errorTitle="Inválido" error="Não pode ser negativo." type="decimal" errorStyle="stop" operator="greaterThanOrEqual">
      <formula1>0</formula1>
    </dataValidation>
    <dataValidation sqref="H164" showDropDown="0" showInputMessage="0" showErrorMessage="1" allowBlank="1" errorTitle="Rejeição maior que o apresentado" error="A rejeição não pode ser maior que a quantidade apresentada." type="custom" errorStyle="stop">
      <formula1>AND(H164&gt;=0,H164&lt;=G164)</formula1>
    </dataValidation>
    <dataValidation sqref="A165" showDropDown="0" showInputMessage="0" showErrorMessage="1" allowBlank="1" errorTitle="Número de recebimento inválido" error="Escolha um número de recebimento já lançado na seção 1." type="list">
      <formula1>=$A$7:$A$56</formula1>
    </dataValidation>
    <dataValidation sqref="D165" showDropDown="0" showInputMessage="0" showErrorMessage="1" allowBlank="1" errorTitle="Código não cadastrado" error="Escolha um código de escola da lista." type="list">
      <formula1>='Entrada de Dados'!$A$6:$A$196</formula1>
    </dataValidation>
    <dataValidation sqref="G165" showDropDown="0" showInputMessage="0" showErrorMessage="1" allowBlank="1" errorTitle="Inválido" error="Não pode ser negativo." type="decimal" errorStyle="stop" operator="greaterThanOrEqual">
      <formula1>0</formula1>
    </dataValidation>
    <dataValidation sqref="H165" showDropDown="0" showInputMessage="0" showErrorMessage="1" allowBlank="1" errorTitle="Rejeição maior que o apresentado" error="A rejeição não pode ser maior que a quantidade apresentada." type="custom" errorStyle="stop">
      <formula1>AND(H165&gt;=0,H165&lt;=G165)</formula1>
    </dataValidation>
    <dataValidation sqref="A166" showDropDown="0" showInputMessage="0" showErrorMessage="1" allowBlank="1" errorTitle="Número de recebimento inválido" error="Escolha um número de recebimento já lançado na seção 1." type="list">
      <formula1>=$A$7:$A$56</formula1>
    </dataValidation>
    <dataValidation sqref="D166" showDropDown="0" showInputMessage="0" showErrorMessage="1" allowBlank="1" errorTitle="Código não cadastrado" error="Escolha um código de escola da lista." type="list">
      <formula1>='Entrada de Dados'!$A$6:$A$196</formula1>
    </dataValidation>
    <dataValidation sqref="G166" showDropDown="0" showInputMessage="0" showErrorMessage="1" allowBlank="1" errorTitle="Inválido" error="Não pode ser negativo." type="decimal" errorStyle="stop" operator="greaterThanOrEqual">
      <formula1>0</formula1>
    </dataValidation>
    <dataValidation sqref="H166" showDropDown="0" showInputMessage="0" showErrorMessage="1" allowBlank="1" errorTitle="Rejeição maior que o apresentado" error="A rejeição não pode ser maior que a quantidade apresentada." type="custom" errorStyle="stop">
      <formula1>AND(H166&gt;=0,H166&lt;=G166)</formula1>
    </dataValidation>
    <dataValidation sqref="A167" showDropDown="0" showInputMessage="0" showErrorMessage="1" allowBlank="1" errorTitle="Número de recebimento inválido" error="Escolha um número de recebimento já lançado na seção 1." type="list">
      <formula1>=$A$7:$A$56</formula1>
    </dataValidation>
    <dataValidation sqref="D167" showDropDown="0" showInputMessage="0" showErrorMessage="1" allowBlank="1" errorTitle="Código não cadastrado" error="Escolha um código de escola da lista." type="list">
      <formula1>='Entrada de Dados'!$A$6:$A$196</formula1>
    </dataValidation>
    <dataValidation sqref="G167" showDropDown="0" showInputMessage="0" showErrorMessage="1" allowBlank="1" errorTitle="Inválido" error="Não pode ser negativo." type="decimal" errorStyle="stop" operator="greaterThanOrEqual">
      <formula1>0</formula1>
    </dataValidation>
    <dataValidation sqref="H167" showDropDown="0" showInputMessage="0" showErrorMessage="1" allowBlank="1" errorTitle="Rejeição maior que o apresentado" error="A rejeição não pode ser maior que a quantidade apresentada." type="custom" errorStyle="stop">
      <formula1>AND(H167&gt;=0,H167&lt;=G167)</formula1>
    </dataValidation>
    <dataValidation sqref="A168" showDropDown="0" showInputMessage="0" showErrorMessage="1" allowBlank="1" errorTitle="Número de recebimento inválido" error="Escolha um número de recebimento já lançado na seção 1." type="list">
      <formula1>=$A$7:$A$56</formula1>
    </dataValidation>
    <dataValidation sqref="D168" showDropDown="0" showInputMessage="0" showErrorMessage="1" allowBlank="1" errorTitle="Código não cadastrado" error="Escolha um código de escola da lista." type="list">
      <formula1>='Entrada de Dados'!$A$6:$A$196</formula1>
    </dataValidation>
    <dataValidation sqref="G168" showDropDown="0" showInputMessage="0" showErrorMessage="1" allowBlank="1" errorTitle="Inválido" error="Não pode ser negativo." type="decimal" errorStyle="stop" operator="greaterThanOrEqual">
      <formula1>0</formula1>
    </dataValidation>
    <dataValidation sqref="H168" showDropDown="0" showInputMessage="0" showErrorMessage="1" allowBlank="1" errorTitle="Rejeição maior que o apresentado" error="A rejeição não pode ser maior que a quantidade apresentada." type="custom" errorStyle="stop">
      <formula1>AND(H168&gt;=0,H168&lt;=G168)</formula1>
    </dataValidation>
    <dataValidation sqref="A169" showDropDown="0" showInputMessage="0" showErrorMessage="1" allowBlank="1" errorTitle="Número de recebimento inválido" error="Escolha um número de recebimento já lançado na seção 1." type="list">
      <formula1>=$A$7:$A$56</formula1>
    </dataValidation>
    <dataValidation sqref="D169" showDropDown="0" showInputMessage="0" showErrorMessage="1" allowBlank="1" errorTitle="Código não cadastrado" error="Escolha um código de escola da lista." type="list">
      <formula1>='Entrada de Dados'!$A$6:$A$196</formula1>
    </dataValidation>
    <dataValidation sqref="G169" showDropDown="0" showInputMessage="0" showErrorMessage="1" allowBlank="1" errorTitle="Inválido" error="Não pode ser negativo." type="decimal" errorStyle="stop" operator="greaterThanOrEqual">
      <formula1>0</formula1>
    </dataValidation>
    <dataValidation sqref="H169" showDropDown="0" showInputMessage="0" showErrorMessage="1" allowBlank="1" errorTitle="Rejeição maior que o apresentado" error="A rejeição não pode ser maior que a quantidade apresentada." type="custom" errorStyle="stop">
      <formula1>AND(H169&gt;=0,H169&lt;=G169)</formula1>
    </dataValidation>
    <dataValidation sqref="A170" showDropDown="0" showInputMessage="0" showErrorMessage="1" allowBlank="1" errorTitle="Número de recebimento inválido" error="Escolha um número de recebimento já lançado na seção 1." type="list">
      <formula1>=$A$7:$A$56</formula1>
    </dataValidation>
    <dataValidation sqref="D170" showDropDown="0" showInputMessage="0" showErrorMessage="1" allowBlank="1" errorTitle="Código não cadastrado" error="Escolha um código de escola da lista." type="list">
      <formula1>='Entrada de Dados'!$A$6:$A$196</formula1>
    </dataValidation>
    <dataValidation sqref="G170" showDropDown="0" showInputMessage="0" showErrorMessage="1" allowBlank="1" errorTitle="Inválido" error="Não pode ser negativo." type="decimal" errorStyle="stop" operator="greaterThanOrEqual">
      <formula1>0</formula1>
    </dataValidation>
    <dataValidation sqref="H170" showDropDown="0" showInputMessage="0" showErrorMessage="1" allowBlank="1" errorTitle="Rejeição maior que o apresentado" error="A rejeição não pode ser maior que a quantidade apresentada." type="custom" errorStyle="stop">
      <formula1>AND(H170&gt;=0,H170&lt;=G170)</formula1>
    </dataValidation>
    <dataValidation sqref="A171" showDropDown="0" showInputMessage="0" showErrorMessage="1" allowBlank="1" errorTitle="Número de recebimento inválido" error="Escolha um número de recebimento já lançado na seção 1." type="list">
      <formula1>=$A$7:$A$56</formula1>
    </dataValidation>
    <dataValidation sqref="D171" showDropDown="0" showInputMessage="0" showErrorMessage="1" allowBlank="1" errorTitle="Código não cadastrado" error="Escolha um código de escola da lista." type="list">
      <formula1>='Entrada de Dados'!$A$6:$A$196</formula1>
    </dataValidation>
    <dataValidation sqref="G171" showDropDown="0" showInputMessage="0" showErrorMessage="1" allowBlank="1" errorTitle="Inválido" error="Não pode ser negativo." type="decimal" errorStyle="stop" operator="greaterThanOrEqual">
      <formula1>0</formula1>
    </dataValidation>
    <dataValidation sqref="H171" showDropDown="0" showInputMessage="0" showErrorMessage="1" allowBlank="1" errorTitle="Rejeição maior que o apresentado" error="A rejeição não pode ser maior que a quantidade apresentada." type="custom" errorStyle="stop">
      <formula1>AND(H171&gt;=0,H171&lt;=G171)</formula1>
    </dataValidation>
    <dataValidation sqref="A172" showDropDown="0" showInputMessage="0" showErrorMessage="1" allowBlank="1" errorTitle="Número de recebimento inválido" error="Escolha um número de recebimento já lançado na seção 1." type="list">
      <formula1>=$A$7:$A$56</formula1>
    </dataValidation>
    <dataValidation sqref="D172" showDropDown="0" showInputMessage="0" showErrorMessage="1" allowBlank="1" errorTitle="Código não cadastrado" error="Escolha um código de escola da lista." type="list">
      <formula1>='Entrada de Dados'!$A$6:$A$196</formula1>
    </dataValidation>
    <dataValidation sqref="G172" showDropDown="0" showInputMessage="0" showErrorMessage="1" allowBlank="1" errorTitle="Inválido" error="Não pode ser negativo." type="decimal" errorStyle="stop" operator="greaterThanOrEqual">
      <formula1>0</formula1>
    </dataValidation>
    <dataValidation sqref="H172" showDropDown="0" showInputMessage="0" showErrorMessage="1" allowBlank="1" errorTitle="Rejeição maior que o apresentado" error="A rejeição não pode ser maior que a quantidade apresentada." type="custom" errorStyle="stop">
      <formula1>AND(H172&gt;=0,H172&lt;=G172)</formula1>
    </dataValidation>
    <dataValidation sqref="A173" showDropDown="0" showInputMessage="0" showErrorMessage="1" allowBlank="1" errorTitle="Número de recebimento inválido" error="Escolha um número de recebimento já lançado na seção 1." type="list">
      <formula1>=$A$7:$A$56</formula1>
    </dataValidation>
    <dataValidation sqref="D173" showDropDown="0" showInputMessage="0" showErrorMessage="1" allowBlank="1" errorTitle="Código não cadastrado" error="Escolha um código de escola da lista." type="list">
      <formula1>='Entrada de Dados'!$A$6:$A$196</formula1>
    </dataValidation>
    <dataValidation sqref="G173" showDropDown="0" showInputMessage="0" showErrorMessage="1" allowBlank="1" errorTitle="Inválido" error="Não pode ser negativo." type="decimal" errorStyle="stop" operator="greaterThanOrEqual">
      <formula1>0</formula1>
    </dataValidation>
    <dataValidation sqref="H173" showDropDown="0" showInputMessage="0" showErrorMessage="1" allowBlank="1" errorTitle="Rejeição maior que o apresentado" error="A rejeição não pode ser maior que a quantidade apresentada." type="custom" errorStyle="stop">
      <formula1>AND(H173&gt;=0,H173&lt;=G173)</formula1>
    </dataValidation>
    <dataValidation sqref="A174" showDropDown="0" showInputMessage="0" showErrorMessage="1" allowBlank="1" errorTitle="Número de recebimento inválido" error="Escolha um número de recebimento já lançado na seção 1." type="list">
      <formula1>=$A$7:$A$56</formula1>
    </dataValidation>
    <dataValidation sqref="D174" showDropDown="0" showInputMessage="0" showErrorMessage="1" allowBlank="1" errorTitle="Código não cadastrado" error="Escolha um código de escola da lista." type="list">
      <formula1>='Entrada de Dados'!$A$6:$A$196</formula1>
    </dataValidation>
    <dataValidation sqref="G174" showDropDown="0" showInputMessage="0" showErrorMessage="1" allowBlank="1" errorTitle="Inválido" error="Não pode ser negativo." type="decimal" errorStyle="stop" operator="greaterThanOrEqual">
      <formula1>0</formula1>
    </dataValidation>
    <dataValidation sqref="H174" showDropDown="0" showInputMessage="0" showErrorMessage="1" allowBlank="1" errorTitle="Rejeição maior que o apresentado" error="A rejeição não pode ser maior que a quantidade apresentada." type="custom" errorStyle="stop">
      <formula1>AND(H174&gt;=0,H174&lt;=G174)</formula1>
    </dataValidation>
    <dataValidation sqref="A175" showDropDown="0" showInputMessage="0" showErrorMessage="1" allowBlank="1" errorTitle="Número de recebimento inválido" error="Escolha um número de recebimento já lançado na seção 1." type="list">
      <formula1>=$A$7:$A$56</formula1>
    </dataValidation>
    <dataValidation sqref="D175" showDropDown="0" showInputMessage="0" showErrorMessage="1" allowBlank="1" errorTitle="Código não cadastrado" error="Escolha um código de escola da lista." type="list">
      <formula1>='Entrada de Dados'!$A$6:$A$196</formula1>
    </dataValidation>
    <dataValidation sqref="G175" showDropDown="0" showInputMessage="0" showErrorMessage="1" allowBlank="1" errorTitle="Inválido" error="Não pode ser negativo." type="decimal" errorStyle="stop" operator="greaterThanOrEqual">
      <formula1>0</formula1>
    </dataValidation>
    <dataValidation sqref="H175" showDropDown="0" showInputMessage="0" showErrorMessage="1" allowBlank="1" errorTitle="Rejeição maior que o apresentado" error="A rejeição não pode ser maior que a quantidade apresentada." type="custom" errorStyle="stop">
      <formula1>AND(H175&gt;=0,H175&lt;=G175)</formula1>
    </dataValidation>
    <dataValidation sqref="A176" showDropDown="0" showInputMessage="0" showErrorMessage="1" allowBlank="1" errorTitle="Número de recebimento inválido" error="Escolha um número de recebimento já lançado na seção 1." type="list">
      <formula1>=$A$7:$A$56</formula1>
    </dataValidation>
    <dataValidation sqref="D176" showDropDown="0" showInputMessage="0" showErrorMessage="1" allowBlank="1" errorTitle="Código não cadastrado" error="Escolha um código de escola da lista." type="list">
      <formula1>='Entrada de Dados'!$A$6:$A$196</formula1>
    </dataValidation>
    <dataValidation sqref="G176" showDropDown="0" showInputMessage="0" showErrorMessage="1" allowBlank="1" errorTitle="Inválido" error="Não pode ser negativo." type="decimal" errorStyle="stop" operator="greaterThanOrEqual">
      <formula1>0</formula1>
    </dataValidation>
    <dataValidation sqref="H176" showDropDown="0" showInputMessage="0" showErrorMessage="1" allowBlank="1" errorTitle="Rejeição maior que o apresentado" error="A rejeição não pode ser maior que a quantidade apresentada." type="custom" errorStyle="stop">
      <formula1>AND(H176&gt;=0,H176&lt;=G176)</formula1>
    </dataValidation>
    <dataValidation sqref="A177" showDropDown="0" showInputMessage="0" showErrorMessage="1" allowBlank="1" errorTitle="Número de recebimento inválido" error="Escolha um número de recebimento já lançado na seção 1." type="list">
      <formula1>=$A$7:$A$56</formula1>
    </dataValidation>
    <dataValidation sqref="D177" showDropDown="0" showInputMessage="0" showErrorMessage="1" allowBlank="1" errorTitle="Código não cadastrado" error="Escolha um código de escola da lista." type="list">
      <formula1>='Entrada de Dados'!$A$6:$A$196</formula1>
    </dataValidation>
    <dataValidation sqref="G177" showDropDown="0" showInputMessage="0" showErrorMessage="1" allowBlank="1" errorTitle="Inválido" error="Não pode ser negativo." type="decimal" errorStyle="stop" operator="greaterThanOrEqual">
      <formula1>0</formula1>
    </dataValidation>
    <dataValidation sqref="H177" showDropDown="0" showInputMessage="0" showErrorMessage="1" allowBlank="1" errorTitle="Rejeição maior que o apresentado" error="A rejeição não pode ser maior que a quantidade apresentada." type="custom" errorStyle="stop">
      <formula1>AND(H177&gt;=0,H177&lt;=G177)</formula1>
    </dataValidation>
    <dataValidation sqref="A178" showDropDown="0" showInputMessage="0" showErrorMessage="1" allowBlank="1" errorTitle="Número de recebimento inválido" error="Escolha um número de recebimento já lançado na seção 1." type="list">
      <formula1>=$A$7:$A$56</formula1>
    </dataValidation>
    <dataValidation sqref="D178" showDropDown="0" showInputMessage="0" showErrorMessage="1" allowBlank="1" errorTitle="Código não cadastrado" error="Escolha um código de escola da lista." type="list">
      <formula1>='Entrada de Dados'!$A$6:$A$196</formula1>
    </dataValidation>
    <dataValidation sqref="G178" showDropDown="0" showInputMessage="0" showErrorMessage="1" allowBlank="1" errorTitle="Inválido" error="Não pode ser negativo." type="decimal" errorStyle="stop" operator="greaterThanOrEqual">
      <formula1>0</formula1>
    </dataValidation>
    <dataValidation sqref="H178" showDropDown="0" showInputMessage="0" showErrorMessage="1" allowBlank="1" errorTitle="Rejeição maior que o apresentado" error="A rejeição não pode ser maior que a quantidade apresentada." type="custom" errorStyle="stop">
      <formula1>AND(H178&gt;=0,H178&lt;=G178)</formula1>
    </dataValidation>
    <dataValidation sqref="A179" showDropDown="0" showInputMessage="0" showErrorMessage="1" allowBlank="1" errorTitle="Número de recebimento inválido" error="Escolha um número de recebimento já lançado na seção 1." type="list">
      <formula1>=$A$7:$A$56</formula1>
    </dataValidation>
    <dataValidation sqref="D179" showDropDown="0" showInputMessage="0" showErrorMessage="1" allowBlank="1" errorTitle="Código não cadastrado" error="Escolha um código de escola da lista." type="list">
      <formula1>='Entrada de Dados'!$A$6:$A$196</formula1>
    </dataValidation>
    <dataValidation sqref="G179" showDropDown="0" showInputMessage="0" showErrorMessage="1" allowBlank="1" errorTitle="Inválido" error="Não pode ser negativo." type="decimal" errorStyle="stop" operator="greaterThanOrEqual">
      <formula1>0</formula1>
    </dataValidation>
    <dataValidation sqref="H179" showDropDown="0" showInputMessage="0" showErrorMessage="1" allowBlank="1" errorTitle="Rejeição maior que o apresentado" error="A rejeição não pode ser maior que a quantidade apresentada." type="custom" errorStyle="stop">
      <formula1>AND(H179&gt;=0,H179&lt;=G179)</formula1>
    </dataValidation>
    <dataValidation sqref="A180" showDropDown="0" showInputMessage="0" showErrorMessage="1" allowBlank="1" errorTitle="Número de recebimento inválido" error="Escolha um número de recebimento já lançado na seção 1." type="list">
      <formula1>=$A$7:$A$56</formula1>
    </dataValidation>
    <dataValidation sqref="D180" showDropDown="0" showInputMessage="0" showErrorMessage="1" allowBlank="1" errorTitle="Código não cadastrado" error="Escolha um código de escola da lista." type="list">
      <formula1>='Entrada de Dados'!$A$6:$A$196</formula1>
    </dataValidation>
    <dataValidation sqref="G180" showDropDown="0" showInputMessage="0" showErrorMessage="1" allowBlank="1" errorTitle="Inválido" error="Não pode ser negativo." type="decimal" errorStyle="stop" operator="greaterThanOrEqual">
      <formula1>0</formula1>
    </dataValidation>
    <dataValidation sqref="H180" showDropDown="0" showInputMessage="0" showErrorMessage="1" allowBlank="1" errorTitle="Rejeição maior que o apresentado" error="A rejeição não pode ser maior que a quantidade apresentada." type="custom" errorStyle="stop">
      <formula1>AND(H180&gt;=0,H180&lt;=G180)</formula1>
    </dataValidation>
    <dataValidation sqref="A181" showDropDown="0" showInputMessage="0" showErrorMessage="1" allowBlank="1" errorTitle="Número de recebimento inválido" error="Escolha um número de recebimento já lançado na seção 1." type="list">
      <formula1>=$A$7:$A$56</formula1>
    </dataValidation>
    <dataValidation sqref="D181" showDropDown="0" showInputMessage="0" showErrorMessage="1" allowBlank="1" errorTitle="Código não cadastrado" error="Escolha um código de escola da lista." type="list">
      <formula1>='Entrada de Dados'!$A$6:$A$196</formula1>
    </dataValidation>
    <dataValidation sqref="G181" showDropDown="0" showInputMessage="0" showErrorMessage="1" allowBlank="1" errorTitle="Inválido" error="Não pode ser negativo." type="decimal" errorStyle="stop" operator="greaterThanOrEqual">
      <formula1>0</formula1>
    </dataValidation>
    <dataValidation sqref="H181" showDropDown="0" showInputMessage="0" showErrorMessage="1" allowBlank="1" errorTitle="Rejeição maior que o apresentado" error="A rejeição não pode ser maior que a quantidade apresentada." type="custom" errorStyle="stop">
      <formula1>AND(H181&gt;=0,H181&lt;=G181)</formula1>
    </dataValidation>
    <dataValidation sqref="A182" showDropDown="0" showInputMessage="0" showErrorMessage="1" allowBlank="1" errorTitle="Número de recebimento inválido" error="Escolha um número de recebimento já lançado na seção 1." type="list">
      <formula1>=$A$7:$A$56</formula1>
    </dataValidation>
    <dataValidation sqref="D182" showDropDown="0" showInputMessage="0" showErrorMessage="1" allowBlank="1" errorTitle="Código não cadastrado" error="Escolha um código de escola da lista." type="list">
      <formula1>='Entrada de Dados'!$A$6:$A$196</formula1>
    </dataValidation>
    <dataValidation sqref="G182" showDropDown="0" showInputMessage="0" showErrorMessage="1" allowBlank="1" errorTitle="Inválido" error="Não pode ser negativo." type="decimal" errorStyle="stop" operator="greaterThanOrEqual">
      <formula1>0</formula1>
    </dataValidation>
    <dataValidation sqref="H182" showDropDown="0" showInputMessage="0" showErrorMessage="1" allowBlank="1" errorTitle="Rejeição maior que o apresentado" error="A rejeição não pode ser maior que a quantidade apresentada." type="custom" errorStyle="stop">
      <formula1>AND(H182&gt;=0,H182&lt;=G182)</formula1>
    </dataValidation>
    <dataValidation sqref="A183" showDropDown="0" showInputMessage="0" showErrorMessage="1" allowBlank="1" errorTitle="Número de recebimento inválido" error="Escolha um número de recebimento já lançado na seção 1." type="list">
      <formula1>=$A$7:$A$56</formula1>
    </dataValidation>
    <dataValidation sqref="D183" showDropDown="0" showInputMessage="0" showErrorMessage="1" allowBlank="1" errorTitle="Código não cadastrado" error="Escolha um código de escola da lista." type="list">
      <formula1>='Entrada de Dados'!$A$6:$A$196</formula1>
    </dataValidation>
    <dataValidation sqref="G183" showDropDown="0" showInputMessage="0" showErrorMessage="1" allowBlank="1" errorTitle="Inválido" error="Não pode ser negativo." type="decimal" errorStyle="stop" operator="greaterThanOrEqual">
      <formula1>0</formula1>
    </dataValidation>
    <dataValidation sqref="H183" showDropDown="0" showInputMessage="0" showErrorMessage="1" allowBlank="1" errorTitle="Rejeição maior que o apresentado" error="A rejeição não pode ser maior que a quantidade apresentada." type="custom" errorStyle="stop">
      <formula1>AND(H183&gt;=0,H183&lt;=G183)</formula1>
    </dataValidation>
    <dataValidation sqref="A184" showDropDown="0" showInputMessage="0" showErrorMessage="1" allowBlank="1" errorTitle="Número de recebimento inválido" error="Escolha um número de recebimento já lançado na seção 1." type="list">
      <formula1>=$A$7:$A$56</formula1>
    </dataValidation>
    <dataValidation sqref="D184" showDropDown="0" showInputMessage="0" showErrorMessage="1" allowBlank="1" errorTitle="Código não cadastrado" error="Escolha um código de escola da lista." type="list">
      <formula1>='Entrada de Dados'!$A$6:$A$196</formula1>
    </dataValidation>
    <dataValidation sqref="G184" showDropDown="0" showInputMessage="0" showErrorMessage="1" allowBlank="1" errorTitle="Inválido" error="Não pode ser negativo." type="decimal" errorStyle="stop" operator="greaterThanOrEqual">
      <formula1>0</formula1>
    </dataValidation>
    <dataValidation sqref="H184" showDropDown="0" showInputMessage="0" showErrorMessage="1" allowBlank="1" errorTitle="Rejeição maior que o apresentado" error="A rejeição não pode ser maior que a quantidade apresentada." type="custom" errorStyle="stop">
      <formula1>AND(H184&gt;=0,H184&lt;=G184)</formula1>
    </dataValidation>
    <dataValidation sqref="A185" showDropDown="0" showInputMessage="0" showErrorMessage="1" allowBlank="1" errorTitle="Número de recebimento inválido" error="Escolha um número de recebimento já lançado na seção 1." type="list">
      <formula1>=$A$7:$A$56</formula1>
    </dataValidation>
    <dataValidation sqref="D185" showDropDown="0" showInputMessage="0" showErrorMessage="1" allowBlank="1" errorTitle="Código não cadastrado" error="Escolha um código de escola da lista." type="list">
      <formula1>='Entrada de Dados'!$A$6:$A$196</formula1>
    </dataValidation>
    <dataValidation sqref="G185" showDropDown="0" showInputMessage="0" showErrorMessage="1" allowBlank="1" errorTitle="Inválido" error="Não pode ser negativo." type="decimal" errorStyle="stop" operator="greaterThanOrEqual">
      <formula1>0</formula1>
    </dataValidation>
    <dataValidation sqref="H185" showDropDown="0" showInputMessage="0" showErrorMessage="1" allowBlank="1" errorTitle="Rejeição maior que o apresentado" error="A rejeição não pode ser maior que a quantidade apresentada." type="custom" errorStyle="stop">
      <formula1>AND(H185&gt;=0,H185&lt;=G185)</formula1>
    </dataValidation>
    <dataValidation sqref="A186" showDropDown="0" showInputMessage="0" showErrorMessage="1" allowBlank="1" errorTitle="Número de recebimento inválido" error="Escolha um número de recebimento já lançado na seção 1." type="list">
      <formula1>=$A$7:$A$56</formula1>
    </dataValidation>
    <dataValidation sqref="D186" showDropDown="0" showInputMessage="0" showErrorMessage="1" allowBlank="1" errorTitle="Código não cadastrado" error="Escolha um código de escola da lista." type="list">
      <formula1>='Entrada de Dados'!$A$6:$A$196</formula1>
    </dataValidation>
    <dataValidation sqref="G186" showDropDown="0" showInputMessage="0" showErrorMessage="1" allowBlank="1" errorTitle="Inválido" error="Não pode ser negativo." type="decimal" errorStyle="stop" operator="greaterThanOrEqual">
      <formula1>0</formula1>
    </dataValidation>
    <dataValidation sqref="H186" showDropDown="0" showInputMessage="0" showErrorMessage="1" allowBlank="1" errorTitle="Rejeição maior que o apresentado" error="A rejeição não pode ser maior que a quantidade apresentada." type="custom" errorStyle="stop">
      <formula1>AND(H186&gt;=0,H186&lt;=G186)</formula1>
    </dataValidation>
    <dataValidation sqref="A187" showDropDown="0" showInputMessage="0" showErrorMessage="1" allowBlank="1" errorTitle="Número de recebimento inválido" error="Escolha um número de recebimento já lançado na seção 1." type="list">
      <formula1>=$A$7:$A$56</formula1>
    </dataValidation>
    <dataValidation sqref="D187" showDropDown="0" showInputMessage="0" showErrorMessage="1" allowBlank="1" errorTitle="Código não cadastrado" error="Escolha um código de escola da lista." type="list">
      <formula1>='Entrada de Dados'!$A$6:$A$196</formula1>
    </dataValidation>
    <dataValidation sqref="G187" showDropDown="0" showInputMessage="0" showErrorMessage="1" allowBlank="1" errorTitle="Inválido" error="Não pode ser negativo." type="decimal" errorStyle="stop" operator="greaterThanOrEqual">
      <formula1>0</formula1>
    </dataValidation>
    <dataValidation sqref="H187" showDropDown="0" showInputMessage="0" showErrorMessage="1" allowBlank="1" errorTitle="Rejeição maior que o apresentado" error="A rejeição não pode ser maior que a quantidade apresentada." type="custom" errorStyle="stop">
      <formula1>AND(H187&gt;=0,H187&lt;=G187)</formula1>
    </dataValidation>
    <dataValidation sqref="A188" showDropDown="0" showInputMessage="0" showErrorMessage="1" allowBlank="1" errorTitle="Número de recebimento inválido" error="Escolha um número de recebimento já lançado na seção 1." type="list">
      <formula1>=$A$7:$A$56</formula1>
    </dataValidation>
    <dataValidation sqref="D188" showDropDown="0" showInputMessage="0" showErrorMessage="1" allowBlank="1" errorTitle="Código não cadastrado" error="Escolha um código de escola da lista." type="list">
      <formula1>='Entrada de Dados'!$A$6:$A$196</formula1>
    </dataValidation>
    <dataValidation sqref="G188" showDropDown="0" showInputMessage="0" showErrorMessage="1" allowBlank="1" errorTitle="Inválido" error="Não pode ser negativo." type="decimal" errorStyle="stop" operator="greaterThanOrEqual">
      <formula1>0</formula1>
    </dataValidation>
    <dataValidation sqref="H188" showDropDown="0" showInputMessage="0" showErrorMessage="1" allowBlank="1" errorTitle="Rejeição maior que o apresentado" error="A rejeição não pode ser maior que a quantidade apresentada." type="custom" errorStyle="stop">
      <formula1>AND(H188&gt;=0,H188&lt;=G188)</formula1>
    </dataValidation>
    <dataValidation sqref="A189" showDropDown="0" showInputMessage="0" showErrorMessage="1" allowBlank="1" errorTitle="Número de recebimento inválido" error="Escolha um número de recebimento já lançado na seção 1." type="list">
      <formula1>=$A$7:$A$56</formula1>
    </dataValidation>
    <dataValidation sqref="D189" showDropDown="0" showInputMessage="0" showErrorMessage="1" allowBlank="1" errorTitle="Código não cadastrado" error="Escolha um código de escola da lista." type="list">
      <formula1>='Entrada de Dados'!$A$6:$A$196</formula1>
    </dataValidation>
    <dataValidation sqref="G189" showDropDown="0" showInputMessage="0" showErrorMessage="1" allowBlank="1" errorTitle="Inválido" error="Não pode ser negativo." type="decimal" errorStyle="stop" operator="greaterThanOrEqual">
      <formula1>0</formula1>
    </dataValidation>
    <dataValidation sqref="H189" showDropDown="0" showInputMessage="0" showErrorMessage="1" allowBlank="1" errorTitle="Rejeição maior que o apresentado" error="A rejeição não pode ser maior que a quantidade apresentada." type="custom" errorStyle="stop">
      <formula1>AND(H189&gt;=0,H189&lt;=G189)</formula1>
    </dataValidation>
    <dataValidation sqref="A190" showDropDown="0" showInputMessage="0" showErrorMessage="1" allowBlank="1" errorTitle="Número de recebimento inválido" error="Escolha um número de recebimento já lançado na seção 1." type="list">
      <formula1>=$A$7:$A$56</formula1>
    </dataValidation>
    <dataValidation sqref="D190" showDropDown="0" showInputMessage="0" showErrorMessage="1" allowBlank="1" errorTitle="Código não cadastrado" error="Escolha um código de escola da lista." type="list">
      <formula1>='Entrada de Dados'!$A$6:$A$196</formula1>
    </dataValidation>
    <dataValidation sqref="G190" showDropDown="0" showInputMessage="0" showErrorMessage="1" allowBlank="1" errorTitle="Inválido" error="Não pode ser negativo." type="decimal" errorStyle="stop" operator="greaterThanOrEqual">
      <formula1>0</formula1>
    </dataValidation>
    <dataValidation sqref="H190" showDropDown="0" showInputMessage="0" showErrorMessage="1" allowBlank="1" errorTitle="Rejeição maior que o apresentado" error="A rejeição não pode ser maior que a quantidade apresentada." type="custom" errorStyle="stop">
      <formula1>AND(H190&gt;=0,H190&lt;=G190)</formula1>
    </dataValidation>
    <dataValidation sqref="A191" showDropDown="0" showInputMessage="0" showErrorMessage="1" allowBlank="1" errorTitle="Número de recebimento inválido" error="Escolha um número de recebimento já lançado na seção 1." type="list">
      <formula1>=$A$7:$A$56</formula1>
    </dataValidation>
    <dataValidation sqref="D191" showDropDown="0" showInputMessage="0" showErrorMessage="1" allowBlank="1" errorTitle="Código não cadastrado" error="Escolha um código de escola da lista." type="list">
      <formula1>='Entrada de Dados'!$A$6:$A$196</formula1>
    </dataValidation>
    <dataValidation sqref="G191" showDropDown="0" showInputMessage="0" showErrorMessage="1" allowBlank="1" errorTitle="Inválido" error="Não pode ser negativo." type="decimal" errorStyle="stop" operator="greaterThanOrEqual">
      <formula1>0</formula1>
    </dataValidation>
    <dataValidation sqref="H191" showDropDown="0" showInputMessage="0" showErrorMessage="1" allowBlank="1" errorTitle="Rejeição maior que o apresentado" error="A rejeição não pode ser maior que a quantidade apresentada." type="custom" errorStyle="stop">
      <formula1>AND(H191&gt;=0,H191&lt;=G191)</formula1>
    </dataValidation>
    <dataValidation sqref="A192" showDropDown="0" showInputMessage="0" showErrorMessage="1" allowBlank="1" errorTitle="Número de recebimento inválido" error="Escolha um número de recebimento já lançado na seção 1." type="list">
      <formula1>=$A$7:$A$56</formula1>
    </dataValidation>
    <dataValidation sqref="D192" showDropDown="0" showInputMessage="0" showErrorMessage="1" allowBlank="1" errorTitle="Código não cadastrado" error="Escolha um código de escola da lista." type="list">
      <formula1>='Entrada de Dados'!$A$6:$A$196</formula1>
    </dataValidation>
    <dataValidation sqref="G192" showDropDown="0" showInputMessage="0" showErrorMessage="1" allowBlank="1" errorTitle="Inválido" error="Não pode ser negativo." type="decimal" errorStyle="stop" operator="greaterThanOrEqual">
      <formula1>0</formula1>
    </dataValidation>
    <dataValidation sqref="H192" showDropDown="0" showInputMessage="0" showErrorMessage="1" allowBlank="1" errorTitle="Rejeição maior que o apresentado" error="A rejeição não pode ser maior que a quantidade apresentada." type="custom" errorStyle="stop">
      <formula1>AND(H192&gt;=0,H192&lt;=G192)</formula1>
    </dataValidation>
    <dataValidation sqref="A193" showDropDown="0" showInputMessage="0" showErrorMessage="1" allowBlank="1" errorTitle="Número de recebimento inválido" error="Escolha um número de recebimento já lançado na seção 1." type="list">
      <formula1>=$A$7:$A$56</formula1>
    </dataValidation>
    <dataValidation sqref="D193" showDropDown="0" showInputMessage="0" showErrorMessage="1" allowBlank="1" errorTitle="Código não cadastrado" error="Escolha um código de escola da lista." type="list">
      <formula1>='Entrada de Dados'!$A$6:$A$196</formula1>
    </dataValidation>
    <dataValidation sqref="G193" showDropDown="0" showInputMessage="0" showErrorMessage="1" allowBlank="1" errorTitle="Inválido" error="Não pode ser negativo." type="decimal" errorStyle="stop" operator="greaterThanOrEqual">
      <formula1>0</formula1>
    </dataValidation>
    <dataValidation sqref="H193" showDropDown="0" showInputMessage="0" showErrorMessage="1" allowBlank="1" errorTitle="Rejeição maior que o apresentado" error="A rejeição não pode ser maior que a quantidade apresentada." type="custom" errorStyle="stop">
      <formula1>AND(H193&gt;=0,H193&lt;=G193)</formula1>
    </dataValidation>
    <dataValidation sqref="A194" showDropDown="0" showInputMessage="0" showErrorMessage="1" allowBlank="1" errorTitle="Número de recebimento inválido" error="Escolha um número de recebimento já lançado na seção 1." type="list">
      <formula1>=$A$7:$A$56</formula1>
    </dataValidation>
    <dataValidation sqref="D194" showDropDown="0" showInputMessage="0" showErrorMessage="1" allowBlank="1" errorTitle="Código não cadastrado" error="Escolha um código de escola da lista." type="list">
      <formula1>='Entrada de Dados'!$A$6:$A$196</formula1>
    </dataValidation>
    <dataValidation sqref="G194" showDropDown="0" showInputMessage="0" showErrorMessage="1" allowBlank="1" errorTitle="Inválido" error="Não pode ser negativo." type="decimal" errorStyle="stop" operator="greaterThanOrEqual">
      <formula1>0</formula1>
    </dataValidation>
    <dataValidation sqref="H194" showDropDown="0" showInputMessage="0" showErrorMessage="1" allowBlank="1" errorTitle="Rejeição maior que o apresentado" error="A rejeição não pode ser maior que a quantidade apresentada." type="custom" errorStyle="stop">
      <formula1>AND(H194&gt;=0,H194&lt;=G194)</formula1>
    </dataValidation>
    <dataValidation sqref="A195" showDropDown="0" showInputMessage="0" showErrorMessage="1" allowBlank="1" errorTitle="Número de recebimento inválido" error="Escolha um número de recebimento já lançado na seção 1." type="list">
      <formula1>=$A$7:$A$56</formula1>
    </dataValidation>
    <dataValidation sqref="D195" showDropDown="0" showInputMessage="0" showErrorMessage="1" allowBlank="1" errorTitle="Código não cadastrado" error="Escolha um código de escola da lista." type="list">
      <formula1>='Entrada de Dados'!$A$6:$A$196</formula1>
    </dataValidation>
    <dataValidation sqref="G195" showDropDown="0" showInputMessage="0" showErrorMessage="1" allowBlank="1" errorTitle="Inválido" error="Não pode ser negativo." type="decimal" errorStyle="stop" operator="greaterThanOrEqual">
      <formula1>0</formula1>
    </dataValidation>
    <dataValidation sqref="H195" showDropDown="0" showInputMessage="0" showErrorMessage="1" allowBlank="1" errorTitle="Rejeição maior que o apresentado" error="A rejeição não pode ser maior que a quantidade apresentada." type="custom" errorStyle="stop">
      <formula1>AND(H195&gt;=0,H195&lt;=G195)</formula1>
    </dataValidation>
    <dataValidation sqref="A196" showDropDown="0" showInputMessage="0" showErrorMessage="1" allowBlank="1" errorTitle="Número de recebimento inválido" error="Escolha um número de recebimento já lançado na seção 1." type="list">
      <formula1>=$A$7:$A$56</formula1>
    </dataValidation>
    <dataValidation sqref="D196" showDropDown="0" showInputMessage="0" showErrorMessage="1" allowBlank="1" errorTitle="Código não cadastrado" error="Escolha um código de escola da lista." type="list">
      <formula1>='Entrada de Dados'!$A$6:$A$196</formula1>
    </dataValidation>
    <dataValidation sqref="G196" showDropDown="0" showInputMessage="0" showErrorMessage="1" allowBlank="1" errorTitle="Inválido" error="Não pode ser negativo." type="decimal" errorStyle="stop" operator="greaterThanOrEqual">
      <formula1>0</formula1>
    </dataValidation>
    <dataValidation sqref="H196" showDropDown="0" showInputMessage="0" showErrorMessage="1" allowBlank="1" errorTitle="Rejeição maior que o apresentado" error="A rejeição não pode ser maior que a quantidade apresentada." type="custom" errorStyle="stop">
      <formula1>AND(H196&gt;=0,H196&lt;=G196)</formula1>
    </dataValidation>
    <dataValidation sqref="A197" showDropDown="0" showInputMessage="0" showErrorMessage="1" allowBlank="1" errorTitle="Número de recebimento inválido" error="Escolha um número de recebimento já lançado na seção 1." type="list">
      <formula1>=$A$7:$A$56</formula1>
    </dataValidation>
    <dataValidation sqref="D197" showDropDown="0" showInputMessage="0" showErrorMessage="1" allowBlank="1" errorTitle="Código não cadastrado" error="Escolha um código de escola da lista." type="list">
      <formula1>='Entrada de Dados'!$A$6:$A$196</formula1>
    </dataValidation>
    <dataValidation sqref="G197" showDropDown="0" showInputMessage="0" showErrorMessage="1" allowBlank="1" errorTitle="Inválido" error="Não pode ser negativo." type="decimal" errorStyle="stop" operator="greaterThanOrEqual">
      <formula1>0</formula1>
    </dataValidation>
    <dataValidation sqref="H197" showDropDown="0" showInputMessage="0" showErrorMessage="1" allowBlank="1" errorTitle="Rejeição maior que o apresentado" error="A rejeição não pode ser maior que a quantidade apresentada." type="custom" errorStyle="stop">
      <formula1>AND(H197&gt;=0,H197&lt;=G197)</formula1>
    </dataValidation>
    <dataValidation sqref="A198" showDropDown="0" showInputMessage="0" showErrorMessage="1" allowBlank="1" errorTitle="Número de recebimento inválido" error="Escolha um número de recebimento já lançado na seção 1." type="list">
      <formula1>=$A$7:$A$56</formula1>
    </dataValidation>
    <dataValidation sqref="D198" showDropDown="0" showInputMessage="0" showErrorMessage="1" allowBlank="1" errorTitle="Código não cadastrado" error="Escolha um código de escola da lista." type="list">
      <formula1>='Entrada de Dados'!$A$6:$A$196</formula1>
    </dataValidation>
    <dataValidation sqref="G198" showDropDown="0" showInputMessage="0" showErrorMessage="1" allowBlank="1" errorTitle="Inválido" error="Não pode ser negativo." type="decimal" errorStyle="stop" operator="greaterThanOrEqual">
      <formula1>0</formula1>
    </dataValidation>
    <dataValidation sqref="H198" showDropDown="0" showInputMessage="0" showErrorMessage="1" allowBlank="1" errorTitle="Rejeição maior que o apresentado" error="A rejeição não pode ser maior que a quantidade apresentada." type="custom" errorStyle="stop">
      <formula1>AND(H198&gt;=0,H198&lt;=G198)</formula1>
    </dataValidation>
    <dataValidation sqref="A199" showDropDown="0" showInputMessage="0" showErrorMessage="1" allowBlank="1" errorTitle="Número de recebimento inválido" error="Escolha um número de recebimento já lançado na seção 1." type="list">
      <formula1>=$A$7:$A$56</formula1>
    </dataValidation>
    <dataValidation sqref="D199" showDropDown="0" showInputMessage="0" showErrorMessage="1" allowBlank="1" errorTitle="Código não cadastrado" error="Escolha um código de escola da lista." type="list">
      <formula1>='Entrada de Dados'!$A$6:$A$196</formula1>
    </dataValidation>
    <dataValidation sqref="G199" showDropDown="0" showInputMessage="0" showErrorMessage="1" allowBlank="1" errorTitle="Inválido" error="Não pode ser negativo." type="decimal" errorStyle="stop" operator="greaterThanOrEqual">
      <formula1>0</formula1>
    </dataValidation>
    <dataValidation sqref="H199" showDropDown="0" showInputMessage="0" showErrorMessage="1" allowBlank="1" errorTitle="Rejeição maior que o apresentado" error="A rejeição não pode ser maior que a quantidade apresentada." type="custom" errorStyle="stop">
      <formula1>AND(H199&gt;=0,H199&lt;=G199)</formula1>
    </dataValidation>
    <dataValidation sqref="A200" showDropDown="0" showInputMessage="0" showErrorMessage="1" allowBlank="1" errorTitle="Número de recebimento inválido" error="Escolha um número de recebimento já lançado na seção 1." type="list">
      <formula1>=$A$7:$A$56</formula1>
    </dataValidation>
    <dataValidation sqref="D200" showDropDown="0" showInputMessage="0" showErrorMessage="1" allowBlank="1" errorTitle="Código não cadastrado" error="Escolha um código de escola da lista." type="list">
      <formula1>='Entrada de Dados'!$A$6:$A$196</formula1>
    </dataValidation>
    <dataValidation sqref="G200" showDropDown="0" showInputMessage="0" showErrorMessage="1" allowBlank="1" errorTitle="Inválido" error="Não pode ser negativo." type="decimal" errorStyle="stop" operator="greaterThanOrEqual">
      <formula1>0</formula1>
    </dataValidation>
    <dataValidation sqref="H200" showDropDown="0" showInputMessage="0" showErrorMessage="1" allowBlank="1" errorTitle="Rejeição maior que o apresentado" error="A rejeição não pode ser maior que a quantidade apresentada." type="custom" errorStyle="stop">
      <formula1>AND(H200&gt;=0,H200&lt;=G200)</formula1>
    </dataValidation>
    <dataValidation sqref="A201" showDropDown="0" showInputMessage="0" showErrorMessage="1" allowBlank="1" errorTitle="Número de recebimento inválido" error="Escolha um número de recebimento já lançado na seção 1." type="list">
      <formula1>=$A$7:$A$56</formula1>
    </dataValidation>
    <dataValidation sqref="D201" showDropDown="0" showInputMessage="0" showErrorMessage="1" allowBlank="1" errorTitle="Código não cadastrado" error="Escolha um código de escola da lista." type="list">
      <formula1>='Entrada de Dados'!$A$6:$A$196</formula1>
    </dataValidation>
    <dataValidation sqref="G201" showDropDown="0" showInputMessage="0" showErrorMessage="1" allowBlank="1" errorTitle="Inválido" error="Não pode ser negativo." type="decimal" errorStyle="stop" operator="greaterThanOrEqual">
      <formula1>0</formula1>
    </dataValidation>
    <dataValidation sqref="H201" showDropDown="0" showInputMessage="0" showErrorMessage="1" allowBlank="1" errorTitle="Rejeição maior que o apresentado" error="A rejeição não pode ser maior que a quantidade apresentada." type="custom" errorStyle="stop">
      <formula1>AND(H201&gt;=0,H201&lt;=G201)</formula1>
    </dataValidation>
    <dataValidation sqref="A202" showDropDown="0" showInputMessage="0" showErrorMessage="1" allowBlank="1" errorTitle="Número de recebimento inválido" error="Escolha um número de recebimento já lançado na seção 1." type="list">
      <formula1>=$A$7:$A$56</formula1>
    </dataValidation>
    <dataValidation sqref="D202" showDropDown="0" showInputMessage="0" showErrorMessage="1" allowBlank="1" errorTitle="Código não cadastrado" error="Escolha um código de escola da lista." type="list">
      <formula1>='Entrada de Dados'!$A$6:$A$196</formula1>
    </dataValidation>
    <dataValidation sqref="G202" showDropDown="0" showInputMessage="0" showErrorMessage="1" allowBlank="1" errorTitle="Inválido" error="Não pode ser negativo." type="decimal" errorStyle="stop" operator="greaterThanOrEqual">
      <formula1>0</formula1>
    </dataValidation>
    <dataValidation sqref="H202" showDropDown="0" showInputMessage="0" showErrorMessage="1" allowBlank="1" errorTitle="Rejeição maior que o apresentado" error="A rejeição não pode ser maior que a quantidade apresentada." type="custom" errorStyle="stop">
      <formula1>AND(H202&gt;=0,H202&lt;=G202)</formula1>
    </dataValidation>
    <dataValidation sqref="A203" showDropDown="0" showInputMessage="0" showErrorMessage="1" allowBlank="1" errorTitle="Número de recebimento inválido" error="Escolha um número de recebimento já lançado na seção 1." type="list">
      <formula1>=$A$7:$A$56</formula1>
    </dataValidation>
    <dataValidation sqref="D203" showDropDown="0" showInputMessage="0" showErrorMessage="1" allowBlank="1" errorTitle="Código não cadastrado" error="Escolha um código de escola da lista." type="list">
      <formula1>='Entrada de Dados'!$A$6:$A$196</formula1>
    </dataValidation>
    <dataValidation sqref="G203" showDropDown="0" showInputMessage="0" showErrorMessage="1" allowBlank="1" errorTitle="Inválido" error="Não pode ser negativo." type="decimal" errorStyle="stop" operator="greaterThanOrEqual">
      <formula1>0</formula1>
    </dataValidation>
    <dataValidation sqref="H203" showDropDown="0" showInputMessage="0" showErrorMessage="1" allowBlank="1" errorTitle="Rejeição maior que o apresentado" error="A rejeição não pode ser maior que a quantidade apresentada." type="custom" errorStyle="stop">
      <formula1>AND(H203&gt;=0,H203&lt;=G203)</formula1>
    </dataValidation>
    <dataValidation sqref="A204" showDropDown="0" showInputMessage="0" showErrorMessage="1" allowBlank="1" errorTitle="Número de recebimento inválido" error="Escolha um número de recebimento já lançado na seção 1." type="list">
      <formula1>=$A$7:$A$56</formula1>
    </dataValidation>
    <dataValidation sqref="D204" showDropDown="0" showInputMessage="0" showErrorMessage="1" allowBlank="1" errorTitle="Código não cadastrado" error="Escolha um código de escola da lista." type="list">
      <formula1>='Entrada de Dados'!$A$6:$A$196</formula1>
    </dataValidation>
    <dataValidation sqref="G204" showDropDown="0" showInputMessage="0" showErrorMessage="1" allowBlank="1" errorTitle="Inválido" error="Não pode ser negativo." type="decimal" errorStyle="stop" operator="greaterThanOrEqual">
      <formula1>0</formula1>
    </dataValidation>
    <dataValidation sqref="H204" showDropDown="0" showInputMessage="0" showErrorMessage="1" allowBlank="1" errorTitle="Rejeição maior que o apresentado" error="A rejeição não pode ser maior que a quantidade apresentada." type="custom" errorStyle="stop">
      <formula1>AND(H204&gt;=0,H204&lt;=G204)</formula1>
    </dataValidation>
    <dataValidation sqref="A205" showDropDown="0" showInputMessage="0" showErrorMessage="1" allowBlank="1" errorTitle="Número de recebimento inválido" error="Escolha um número de recebimento já lançado na seção 1." type="list">
      <formula1>=$A$7:$A$56</formula1>
    </dataValidation>
    <dataValidation sqref="D205" showDropDown="0" showInputMessage="0" showErrorMessage="1" allowBlank="1" errorTitle="Código não cadastrado" error="Escolha um código de escola da lista." type="list">
      <formula1>='Entrada de Dados'!$A$6:$A$196</formula1>
    </dataValidation>
    <dataValidation sqref="G205" showDropDown="0" showInputMessage="0" showErrorMessage="1" allowBlank="1" errorTitle="Inválido" error="Não pode ser negativo." type="decimal" errorStyle="stop" operator="greaterThanOrEqual">
      <formula1>0</formula1>
    </dataValidation>
    <dataValidation sqref="H205" showDropDown="0" showInputMessage="0" showErrorMessage="1" allowBlank="1" errorTitle="Rejeição maior que o apresentado" error="A rejeição não pode ser maior que a quantidade apresentada." type="custom" errorStyle="stop">
      <formula1>AND(H205&gt;=0,H205&lt;=G205)</formula1>
    </dataValidation>
    <dataValidation sqref="A206" showDropDown="0" showInputMessage="0" showErrorMessage="1" allowBlank="1" errorTitle="Número de recebimento inválido" error="Escolha um número de recebimento já lançado na seção 1." type="list">
      <formula1>=$A$7:$A$56</formula1>
    </dataValidation>
    <dataValidation sqref="D206" showDropDown="0" showInputMessage="0" showErrorMessage="1" allowBlank="1" errorTitle="Código não cadastrado" error="Escolha um código de escola da lista." type="list">
      <formula1>='Entrada de Dados'!$A$6:$A$196</formula1>
    </dataValidation>
    <dataValidation sqref="G206" showDropDown="0" showInputMessage="0" showErrorMessage="1" allowBlank="1" errorTitle="Inválido" error="Não pode ser negativo." type="decimal" errorStyle="stop" operator="greaterThanOrEqual">
      <formula1>0</formula1>
    </dataValidation>
    <dataValidation sqref="H206" showDropDown="0" showInputMessage="0" showErrorMessage="1" allowBlank="1" errorTitle="Rejeição maior que o apresentado" error="A rejeição não pode ser maior que a quantidade apresentada." type="custom" errorStyle="stop">
      <formula1>AND(H206&gt;=0,H206&lt;=G206)</formula1>
    </dataValidation>
    <dataValidation sqref="A207" showDropDown="0" showInputMessage="0" showErrorMessage="1" allowBlank="1" errorTitle="Número de recebimento inválido" error="Escolha um número de recebimento já lançado na seção 1." type="list">
      <formula1>=$A$7:$A$56</formula1>
    </dataValidation>
    <dataValidation sqref="D207" showDropDown="0" showInputMessage="0" showErrorMessage="1" allowBlank="1" errorTitle="Código não cadastrado" error="Escolha um código de escola da lista." type="list">
      <formula1>='Entrada de Dados'!$A$6:$A$196</formula1>
    </dataValidation>
    <dataValidation sqref="G207" showDropDown="0" showInputMessage="0" showErrorMessage="1" allowBlank="1" errorTitle="Inválido" error="Não pode ser negativo." type="decimal" errorStyle="stop" operator="greaterThanOrEqual">
      <formula1>0</formula1>
    </dataValidation>
    <dataValidation sqref="H207" showDropDown="0" showInputMessage="0" showErrorMessage="1" allowBlank="1" errorTitle="Rejeição maior que o apresentado" error="A rejeição não pode ser maior que a quantidade apresentada." type="custom" errorStyle="stop">
      <formula1>AND(H207&gt;=0,H207&lt;=G207)</formula1>
    </dataValidation>
    <dataValidation sqref="A208" showDropDown="0" showInputMessage="0" showErrorMessage="1" allowBlank="1" errorTitle="Número de recebimento inválido" error="Escolha um número de recebimento já lançado na seção 1." type="list">
      <formula1>=$A$7:$A$56</formula1>
    </dataValidation>
    <dataValidation sqref="D208" showDropDown="0" showInputMessage="0" showErrorMessage="1" allowBlank="1" errorTitle="Código não cadastrado" error="Escolha um código de escola da lista." type="list">
      <formula1>='Entrada de Dados'!$A$6:$A$196</formula1>
    </dataValidation>
    <dataValidation sqref="G208" showDropDown="0" showInputMessage="0" showErrorMessage="1" allowBlank="1" errorTitle="Inválido" error="Não pode ser negativo." type="decimal" errorStyle="stop" operator="greaterThanOrEqual">
      <formula1>0</formula1>
    </dataValidation>
    <dataValidation sqref="H208" showDropDown="0" showInputMessage="0" showErrorMessage="1" allowBlank="1" errorTitle="Rejeição maior que o apresentado" error="A rejeição não pode ser maior que a quantidade apresentada." type="custom" errorStyle="stop">
      <formula1>AND(H208&gt;=0,H208&lt;=G208)</formula1>
    </dataValidation>
    <dataValidation sqref="A209" showDropDown="0" showInputMessage="0" showErrorMessage="1" allowBlank="1" errorTitle="Número de recebimento inválido" error="Escolha um número de recebimento já lançado na seção 1." type="list">
      <formula1>=$A$7:$A$56</formula1>
    </dataValidation>
    <dataValidation sqref="D209" showDropDown="0" showInputMessage="0" showErrorMessage="1" allowBlank="1" errorTitle="Código não cadastrado" error="Escolha um código de escola da lista." type="list">
      <formula1>='Entrada de Dados'!$A$6:$A$196</formula1>
    </dataValidation>
    <dataValidation sqref="G209" showDropDown="0" showInputMessage="0" showErrorMessage="1" allowBlank="1" errorTitle="Inválido" error="Não pode ser negativo." type="decimal" errorStyle="stop" operator="greaterThanOrEqual">
      <formula1>0</formula1>
    </dataValidation>
    <dataValidation sqref="H209" showDropDown="0" showInputMessage="0" showErrorMessage="1" allowBlank="1" errorTitle="Rejeição maior que o apresentado" error="A rejeição não pode ser maior que a quantidade apresentada." type="custom" errorStyle="stop">
      <formula1>AND(H209&gt;=0,H209&lt;=G209)</formula1>
    </dataValidation>
    <dataValidation sqref="A210" showDropDown="0" showInputMessage="0" showErrorMessage="1" allowBlank="1" errorTitle="Número de recebimento inválido" error="Escolha um número de recebimento já lançado na seção 1." type="list">
      <formula1>=$A$7:$A$56</formula1>
    </dataValidation>
    <dataValidation sqref="D210" showDropDown="0" showInputMessage="0" showErrorMessage="1" allowBlank="1" errorTitle="Código não cadastrado" error="Escolha um código de escola da lista." type="list">
      <formula1>='Entrada de Dados'!$A$6:$A$196</formula1>
    </dataValidation>
    <dataValidation sqref="G210" showDropDown="0" showInputMessage="0" showErrorMessage="1" allowBlank="1" errorTitle="Inválido" error="Não pode ser negativo." type="decimal" errorStyle="stop" operator="greaterThanOrEqual">
      <formula1>0</formula1>
    </dataValidation>
    <dataValidation sqref="H210" showDropDown="0" showInputMessage="0" showErrorMessage="1" allowBlank="1" errorTitle="Rejeição maior que o apresentado" error="A rejeição não pode ser maior que a quantidade apresentada." type="custom" errorStyle="stop">
      <formula1>AND(H210&gt;=0,H210&lt;=G210)</formula1>
    </dataValidation>
    <dataValidation sqref="A211" showDropDown="0" showInputMessage="0" showErrorMessage="1" allowBlank="1" errorTitle="Número de recebimento inválido" error="Escolha um número de recebimento já lançado na seção 1." type="list">
      <formula1>=$A$7:$A$56</formula1>
    </dataValidation>
    <dataValidation sqref="D211" showDropDown="0" showInputMessage="0" showErrorMessage="1" allowBlank="1" errorTitle="Código não cadastrado" error="Escolha um código de escola da lista." type="list">
      <formula1>='Entrada de Dados'!$A$6:$A$196</formula1>
    </dataValidation>
    <dataValidation sqref="G211" showDropDown="0" showInputMessage="0" showErrorMessage="1" allowBlank="1" errorTitle="Inválido" error="Não pode ser negativo." type="decimal" errorStyle="stop" operator="greaterThanOrEqual">
      <formula1>0</formula1>
    </dataValidation>
    <dataValidation sqref="H211" showDropDown="0" showInputMessage="0" showErrorMessage="1" allowBlank="1" errorTitle="Rejeição maior que o apresentado" error="A rejeição não pode ser maior que a quantidade apresentada." type="custom" errorStyle="stop">
      <formula1>AND(H211&gt;=0,H211&lt;=G211)</formula1>
    </dataValidation>
    <dataValidation sqref="A212" showDropDown="0" showInputMessage="0" showErrorMessage="1" allowBlank="1" errorTitle="Número de recebimento inválido" error="Escolha um número de recebimento já lançado na seção 1." type="list">
      <formula1>=$A$7:$A$56</formula1>
    </dataValidation>
    <dataValidation sqref="D212" showDropDown="0" showInputMessage="0" showErrorMessage="1" allowBlank="1" errorTitle="Código não cadastrado" error="Escolha um código de escola da lista." type="list">
      <formula1>='Entrada de Dados'!$A$6:$A$196</formula1>
    </dataValidation>
    <dataValidation sqref="G212" showDropDown="0" showInputMessage="0" showErrorMessage="1" allowBlank="1" errorTitle="Inválido" error="Não pode ser negativo." type="decimal" errorStyle="stop" operator="greaterThanOrEqual">
      <formula1>0</formula1>
    </dataValidation>
    <dataValidation sqref="H212" showDropDown="0" showInputMessage="0" showErrorMessage="1" allowBlank="1" errorTitle="Rejeição maior que o apresentado" error="A rejeição não pode ser maior que a quantidade apresentada." type="custom" errorStyle="stop">
      <formula1>AND(H212&gt;=0,H212&lt;=G212)</formula1>
    </dataValidation>
    <dataValidation sqref="A213" showDropDown="0" showInputMessage="0" showErrorMessage="1" allowBlank="1" errorTitle="Número de recebimento inválido" error="Escolha um número de recebimento já lançado na seção 1." type="list">
      <formula1>=$A$7:$A$56</formula1>
    </dataValidation>
    <dataValidation sqref="D213" showDropDown="0" showInputMessage="0" showErrorMessage="1" allowBlank="1" errorTitle="Código não cadastrado" error="Escolha um código de escola da lista." type="list">
      <formula1>='Entrada de Dados'!$A$6:$A$196</formula1>
    </dataValidation>
    <dataValidation sqref="G213" showDropDown="0" showInputMessage="0" showErrorMessage="1" allowBlank="1" errorTitle="Inválido" error="Não pode ser negativo." type="decimal" errorStyle="stop" operator="greaterThanOrEqual">
      <formula1>0</formula1>
    </dataValidation>
    <dataValidation sqref="H213" showDropDown="0" showInputMessage="0" showErrorMessage="1" allowBlank="1" errorTitle="Rejeição maior que o apresentado" error="A rejeição não pode ser maior que a quantidade apresentada." type="custom" errorStyle="stop">
      <formula1>AND(H213&gt;=0,H213&lt;=G213)</formula1>
    </dataValidation>
    <dataValidation sqref="A214" showDropDown="0" showInputMessage="0" showErrorMessage="1" allowBlank="1" errorTitle="Número de recebimento inválido" error="Escolha um número de recebimento já lançado na seção 1." type="list">
      <formula1>=$A$7:$A$56</formula1>
    </dataValidation>
    <dataValidation sqref="D214" showDropDown="0" showInputMessage="0" showErrorMessage="1" allowBlank="1" errorTitle="Código não cadastrado" error="Escolha um código de escola da lista." type="list">
      <formula1>='Entrada de Dados'!$A$6:$A$196</formula1>
    </dataValidation>
    <dataValidation sqref="G214" showDropDown="0" showInputMessage="0" showErrorMessage="1" allowBlank="1" errorTitle="Inválido" error="Não pode ser negativo." type="decimal" errorStyle="stop" operator="greaterThanOrEqual">
      <formula1>0</formula1>
    </dataValidation>
    <dataValidation sqref="H214" showDropDown="0" showInputMessage="0" showErrorMessage="1" allowBlank="1" errorTitle="Rejeição maior que o apresentado" error="A rejeição não pode ser maior que a quantidade apresentada." type="custom" errorStyle="stop">
      <formula1>AND(H214&gt;=0,H214&lt;=G214)</formula1>
    </dataValidation>
    <dataValidation sqref="A215" showDropDown="0" showInputMessage="0" showErrorMessage="1" allowBlank="1" errorTitle="Número de recebimento inválido" error="Escolha um número de recebimento já lançado na seção 1." type="list">
      <formula1>=$A$7:$A$56</formula1>
    </dataValidation>
    <dataValidation sqref="D215" showDropDown="0" showInputMessage="0" showErrorMessage="1" allowBlank="1" errorTitle="Código não cadastrado" error="Escolha um código de escola da lista." type="list">
      <formula1>='Entrada de Dados'!$A$6:$A$196</formula1>
    </dataValidation>
    <dataValidation sqref="G215" showDropDown="0" showInputMessage="0" showErrorMessage="1" allowBlank="1" errorTitle="Inválido" error="Não pode ser negativo." type="decimal" errorStyle="stop" operator="greaterThanOrEqual">
      <formula1>0</formula1>
    </dataValidation>
    <dataValidation sqref="H215" showDropDown="0" showInputMessage="0" showErrorMessage="1" allowBlank="1" errorTitle="Rejeição maior que o apresentado" error="A rejeição não pode ser maior que a quantidade apresentada." type="custom" errorStyle="stop">
      <formula1>AND(H215&gt;=0,H215&lt;=G215)</formula1>
    </dataValidation>
    <dataValidation sqref="A216" showDropDown="0" showInputMessage="0" showErrorMessage="1" allowBlank="1" errorTitle="Número de recebimento inválido" error="Escolha um número de recebimento já lançado na seção 1." type="list">
      <formula1>=$A$7:$A$56</formula1>
    </dataValidation>
    <dataValidation sqref="D216" showDropDown="0" showInputMessage="0" showErrorMessage="1" allowBlank="1" errorTitle="Código não cadastrado" error="Escolha um código de escola da lista." type="list">
      <formula1>='Entrada de Dados'!$A$6:$A$196</formula1>
    </dataValidation>
    <dataValidation sqref="G216" showDropDown="0" showInputMessage="0" showErrorMessage="1" allowBlank="1" errorTitle="Inválido" error="Não pode ser negativo." type="decimal" errorStyle="stop" operator="greaterThanOrEqual">
      <formula1>0</formula1>
    </dataValidation>
    <dataValidation sqref="H216" showDropDown="0" showInputMessage="0" showErrorMessage="1" allowBlank="1" errorTitle="Rejeição maior que o apresentado" error="A rejeição não pode ser maior que a quantidade apresentada." type="custom" errorStyle="stop">
      <formula1>AND(H216&gt;=0,H216&lt;=G216)</formula1>
    </dataValidation>
    <dataValidation sqref="A217" showDropDown="0" showInputMessage="0" showErrorMessage="1" allowBlank="1" errorTitle="Número de recebimento inválido" error="Escolha um número de recebimento já lançado na seção 1." type="list">
      <formula1>=$A$7:$A$56</formula1>
    </dataValidation>
    <dataValidation sqref="D217" showDropDown="0" showInputMessage="0" showErrorMessage="1" allowBlank="1" errorTitle="Código não cadastrado" error="Escolha um código de escola da lista." type="list">
      <formula1>='Entrada de Dados'!$A$6:$A$196</formula1>
    </dataValidation>
    <dataValidation sqref="G217" showDropDown="0" showInputMessage="0" showErrorMessage="1" allowBlank="1" errorTitle="Inválido" error="Não pode ser negativo." type="decimal" errorStyle="stop" operator="greaterThanOrEqual">
      <formula1>0</formula1>
    </dataValidation>
    <dataValidation sqref="H217" showDropDown="0" showInputMessage="0" showErrorMessage="1" allowBlank="1" errorTitle="Rejeição maior que o apresentado" error="A rejeição não pode ser maior que a quantidade apresentada." type="custom" errorStyle="stop">
      <formula1>AND(H217&gt;=0,H217&lt;=G217)</formula1>
    </dataValidation>
    <dataValidation sqref="A218" showDropDown="0" showInputMessage="0" showErrorMessage="1" allowBlank="1" errorTitle="Número de recebimento inválido" error="Escolha um número de recebimento já lançado na seção 1." type="list">
      <formula1>=$A$7:$A$56</formula1>
    </dataValidation>
    <dataValidation sqref="D218" showDropDown="0" showInputMessage="0" showErrorMessage="1" allowBlank="1" errorTitle="Código não cadastrado" error="Escolha um código de escola da lista." type="list">
      <formula1>='Entrada de Dados'!$A$6:$A$196</formula1>
    </dataValidation>
    <dataValidation sqref="G218" showDropDown="0" showInputMessage="0" showErrorMessage="1" allowBlank="1" errorTitle="Inválido" error="Não pode ser negativo." type="decimal" errorStyle="stop" operator="greaterThanOrEqual">
      <formula1>0</formula1>
    </dataValidation>
    <dataValidation sqref="H218" showDropDown="0" showInputMessage="0" showErrorMessage="1" allowBlank="1" errorTitle="Rejeição maior que o apresentado" error="A rejeição não pode ser maior que a quantidade apresentada." type="custom" errorStyle="stop">
      <formula1>AND(H218&gt;=0,H218&lt;=G218)</formula1>
    </dataValidation>
    <dataValidation sqref="A219" showDropDown="0" showInputMessage="0" showErrorMessage="1" allowBlank="1" errorTitle="Número de recebimento inválido" error="Escolha um número de recebimento já lançado na seção 1." type="list">
      <formula1>=$A$7:$A$56</formula1>
    </dataValidation>
    <dataValidation sqref="D219" showDropDown="0" showInputMessage="0" showErrorMessage="1" allowBlank="1" errorTitle="Código não cadastrado" error="Escolha um código de escola da lista." type="list">
      <formula1>='Entrada de Dados'!$A$6:$A$196</formula1>
    </dataValidation>
    <dataValidation sqref="G219" showDropDown="0" showInputMessage="0" showErrorMessage="1" allowBlank="1" errorTitle="Inválido" error="Não pode ser negativo." type="decimal" errorStyle="stop" operator="greaterThanOrEqual">
      <formula1>0</formula1>
    </dataValidation>
    <dataValidation sqref="H219" showDropDown="0" showInputMessage="0" showErrorMessage="1" allowBlank="1" errorTitle="Rejeição maior que o apresentado" error="A rejeição não pode ser maior que a quantidade apresentada." type="custom" errorStyle="stop">
      <formula1>AND(H219&gt;=0,H219&lt;=G219)</formula1>
    </dataValidation>
    <dataValidation sqref="A220" showDropDown="0" showInputMessage="0" showErrorMessage="1" allowBlank="1" errorTitle="Número de recebimento inválido" error="Escolha um número de recebimento já lançado na seção 1." type="list">
      <formula1>=$A$7:$A$56</formula1>
    </dataValidation>
    <dataValidation sqref="D220" showDropDown="0" showInputMessage="0" showErrorMessage="1" allowBlank="1" errorTitle="Código não cadastrado" error="Escolha um código de escola da lista." type="list">
      <formula1>='Entrada de Dados'!$A$6:$A$196</formula1>
    </dataValidation>
    <dataValidation sqref="G220" showDropDown="0" showInputMessage="0" showErrorMessage="1" allowBlank="1" errorTitle="Inválido" error="Não pode ser negativo." type="decimal" errorStyle="stop" operator="greaterThanOrEqual">
      <formula1>0</formula1>
    </dataValidation>
    <dataValidation sqref="H220" showDropDown="0" showInputMessage="0" showErrorMessage="1" allowBlank="1" errorTitle="Rejeição maior que o apresentado" error="A rejeição não pode ser maior que a quantidade apresentada." type="custom" errorStyle="stop">
      <formula1>AND(H220&gt;=0,H220&lt;=G220)</formula1>
    </dataValidation>
    <dataValidation sqref="A221" showDropDown="0" showInputMessage="0" showErrorMessage="1" allowBlank="1" errorTitle="Número de recebimento inválido" error="Escolha um número de recebimento já lançado na seção 1." type="list">
      <formula1>=$A$7:$A$56</formula1>
    </dataValidation>
    <dataValidation sqref="D221" showDropDown="0" showInputMessage="0" showErrorMessage="1" allowBlank="1" errorTitle="Código não cadastrado" error="Escolha um código de escola da lista." type="list">
      <formula1>='Entrada de Dados'!$A$6:$A$196</formula1>
    </dataValidation>
    <dataValidation sqref="G221" showDropDown="0" showInputMessage="0" showErrorMessage="1" allowBlank="1" errorTitle="Inválido" error="Não pode ser negativo." type="decimal" errorStyle="stop" operator="greaterThanOrEqual">
      <formula1>0</formula1>
    </dataValidation>
    <dataValidation sqref="H221" showDropDown="0" showInputMessage="0" showErrorMessage="1" allowBlank="1" errorTitle="Rejeição maior que o apresentado" error="A rejeição não pode ser maior que a quantidade apresentada." type="custom" errorStyle="stop">
      <formula1>AND(H221&gt;=0,H221&lt;=G221)</formula1>
    </dataValidation>
    <dataValidation sqref="A222" showDropDown="0" showInputMessage="0" showErrorMessage="1" allowBlank="1" errorTitle="Número de recebimento inválido" error="Escolha um número de recebimento já lançado na seção 1." type="list">
      <formula1>=$A$7:$A$56</formula1>
    </dataValidation>
    <dataValidation sqref="D222" showDropDown="0" showInputMessage="0" showErrorMessage="1" allowBlank="1" errorTitle="Código não cadastrado" error="Escolha um código de escola da lista." type="list">
      <formula1>='Entrada de Dados'!$A$6:$A$196</formula1>
    </dataValidation>
    <dataValidation sqref="G222" showDropDown="0" showInputMessage="0" showErrorMessage="1" allowBlank="1" errorTitle="Inválido" error="Não pode ser negativo." type="decimal" errorStyle="stop" operator="greaterThanOrEqual">
      <formula1>0</formula1>
    </dataValidation>
    <dataValidation sqref="H222" showDropDown="0" showInputMessage="0" showErrorMessage="1" allowBlank="1" errorTitle="Rejeição maior que o apresentado" error="A rejeição não pode ser maior que a quantidade apresentada." type="custom" errorStyle="stop">
      <formula1>AND(H222&gt;=0,H222&lt;=G222)</formula1>
    </dataValidation>
    <dataValidation sqref="A223" showDropDown="0" showInputMessage="0" showErrorMessage="1" allowBlank="1" errorTitle="Número de recebimento inválido" error="Escolha um número de recebimento já lançado na seção 1." type="list">
      <formula1>=$A$7:$A$56</formula1>
    </dataValidation>
    <dataValidation sqref="D223" showDropDown="0" showInputMessage="0" showErrorMessage="1" allowBlank="1" errorTitle="Código não cadastrado" error="Escolha um código de escola da lista." type="list">
      <formula1>='Entrada de Dados'!$A$6:$A$196</formula1>
    </dataValidation>
    <dataValidation sqref="G223" showDropDown="0" showInputMessage="0" showErrorMessage="1" allowBlank="1" errorTitle="Inválido" error="Não pode ser negativo." type="decimal" errorStyle="stop" operator="greaterThanOrEqual">
      <formula1>0</formula1>
    </dataValidation>
    <dataValidation sqref="H223" showDropDown="0" showInputMessage="0" showErrorMessage="1" allowBlank="1" errorTitle="Rejeição maior que o apresentado" error="A rejeição não pode ser maior que a quantidade apresentada." type="custom" errorStyle="stop">
      <formula1>AND(H223&gt;=0,H223&lt;=G223)</formula1>
    </dataValidation>
    <dataValidation sqref="A224" showDropDown="0" showInputMessage="0" showErrorMessage="1" allowBlank="1" errorTitle="Número de recebimento inválido" error="Escolha um número de recebimento já lançado na seção 1." type="list">
      <formula1>=$A$7:$A$56</formula1>
    </dataValidation>
    <dataValidation sqref="D224" showDropDown="0" showInputMessage="0" showErrorMessage="1" allowBlank="1" errorTitle="Código não cadastrado" error="Escolha um código de escola da lista." type="list">
      <formula1>='Entrada de Dados'!$A$6:$A$196</formula1>
    </dataValidation>
    <dataValidation sqref="G224" showDropDown="0" showInputMessage="0" showErrorMessage="1" allowBlank="1" errorTitle="Inválido" error="Não pode ser negativo." type="decimal" errorStyle="stop" operator="greaterThanOrEqual">
      <formula1>0</formula1>
    </dataValidation>
    <dataValidation sqref="H224" showDropDown="0" showInputMessage="0" showErrorMessage="1" allowBlank="1" errorTitle="Rejeição maior que o apresentado" error="A rejeição não pode ser maior que a quantidade apresentada." type="custom" errorStyle="stop">
      <formula1>AND(H224&gt;=0,H224&lt;=G224)</formula1>
    </dataValidation>
    <dataValidation sqref="A225" showDropDown="0" showInputMessage="0" showErrorMessage="1" allowBlank="1" errorTitle="Número de recebimento inválido" error="Escolha um número de recebimento já lançado na seção 1." type="list">
      <formula1>=$A$7:$A$56</formula1>
    </dataValidation>
    <dataValidation sqref="D225" showDropDown="0" showInputMessage="0" showErrorMessage="1" allowBlank="1" errorTitle="Código não cadastrado" error="Escolha um código de escola da lista." type="list">
      <formula1>='Entrada de Dados'!$A$6:$A$196</formula1>
    </dataValidation>
    <dataValidation sqref="G225" showDropDown="0" showInputMessage="0" showErrorMessage="1" allowBlank="1" errorTitle="Inválido" error="Não pode ser negativo." type="decimal" errorStyle="stop" operator="greaterThanOrEqual">
      <formula1>0</formula1>
    </dataValidation>
    <dataValidation sqref="H225" showDropDown="0" showInputMessage="0" showErrorMessage="1" allowBlank="1" errorTitle="Rejeição maior que o apresentado" error="A rejeição não pode ser maior que a quantidade apresentada." type="custom" errorStyle="stop">
      <formula1>AND(H225&gt;=0,H225&lt;=G225)</formula1>
    </dataValidation>
    <dataValidation sqref="A226" showDropDown="0" showInputMessage="0" showErrorMessage="1" allowBlank="1" errorTitle="Número de recebimento inválido" error="Escolha um número de recebimento já lançado na seção 1." type="list">
      <formula1>=$A$7:$A$56</formula1>
    </dataValidation>
    <dataValidation sqref="D226" showDropDown="0" showInputMessage="0" showErrorMessage="1" allowBlank="1" errorTitle="Código não cadastrado" error="Escolha um código de escola da lista." type="list">
      <formula1>='Entrada de Dados'!$A$6:$A$196</formula1>
    </dataValidation>
    <dataValidation sqref="G226" showDropDown="0" showInputMessage="0" showErrorMessage="1" allowBlank="1" errorTitle="Inválido" error="Não pode ser negativo." type="decimal" errorStyle="stop" operator="greaterThanOrEqual">
      <formula1>0</formula1>
    </dataValidation>
    <dataValidation sqref="H226" showDropDown="0" showInputMessage="0" showErrorMessage="1" allowBlank="1" errorTitle="Rejeição maior que o apresentado" error="A rejeição não pode ser maior que a quantidade apresentada." type="custom" errorStyle="stop">
      <formula1>AND(H226&gt;=0,H226&lt;=G226)</formula1>
    </dataValidation>
    <dataValidation sqref="A227" showDropDown="0" showInputMessage="0" showErrorMessage="1" allowBlank="1" errorTitle="Número de recebimento inválido" error="Escolha um número de recebimento já lançado na seção 1." type="list">
      <formula1>=$A$7:$A$56</formula1>
    </dataValidation>
    <dataValidation sqref="D227" showDropDown="0" showInputMessage="0" showErrorMessage="1" allowBlank="1" errorTitle="Código não cadastrado" error="Escolha um código de escola da lista." type="list">
      <formula1>='Entrada de Dados'!$A$6:$A$196</formula1>
    </dataValidation>
    <dataValidation sqref="G227" showDropDown="0" showInputMessage="0" showErrorMessage="1" allowBlank="1" errorTitle="Inválido" error="Não pode ser negativo." type="decimal" errorStyle="stop" operator="greaterThanOrEqual">
      <formula1>0</formula1>
    </dataValidation>
    <dataValidation sqref="H227" showDropDown="0" showInputMessage="0" showErrorMessage="1" allowBlank="1" errorTitle="Rejeição maior que o apresentado" error="A rejeição não pode ser maior que a quantidade apresentada." type="custom" errorStyle="stop">
      <formula1>AND(H227&gt;=0,H227&lt;=G227)</formula1>
    </dataValidation>
    <dataValidation sqref="A228" showDropDown="0" showInputMessage="0" showErrorMessage="1" allowBlank="1" errorTitle="Número de recebimento inválido" error="Escolha um número de recebimento já lançado na seção 1." type="list">
      <formula1>=$A$7:$A$56</formula1>
    </dataValidation>
    <dataValidation sqref="D228" showDropDown="0" showInputMessage="0" showErrorMessage="1" allowBlank="1" errorTitle="Código não cadastrado" error="Escolha um código de escola da lista." type="list">
      <formula1>='Entrada de Dados'!$A$6:$A$196</formula1>
    </dataValidation>
    <dataValidation sqref="G228" showDropDown="0" showInputMessage="0" showErrorMessage="1" allowBlank="1" errorTitle="Inválido" error="Não pode ser negativo." type="decimal" errorStyle="stop" operator="greaterThanOrEqual">
      <formula1>0</formula1>
    </dataValidation>
    <dataValidation sqref="H228" showDropDown="0" showInputMessage="0" showErrorMessage="1" allowBlank="1" errorTitle="Rejeição maior que o apresentado" error="A rejeição não pode ser maior que a quantidade apresentada." type="custom" errorStyle="stop">
      <formula1>AND(H228&gt;=0,H228&lt;=G228)</formula1>
    </dataValidation>
    <dataValidation sqref="A229" showDropDown="0" showInputMessage="0" showErrorMessage="1" allowBlank="1" errorTitle="Número de recebimento inválido" error="Escolha um número de recebimento já lançado na seção 1." type="list">
      <formula1>=$A$7:$A$56</formula1>
    </dataValidation>
    <dataValidation sqref="D229" showDropDown="0" showInputMessage="0" showErrorMessage="1" allowBlank="1" errorTitle="Código não cadastrado" error="Escolha um código de escola da lista." type="list">
      <formula1>='Entrada de Dados'!$A$6:$A$196</formula1>
    </dataValidation>
    <dataValidation sqref="G229" showDropDown="0" showInputMessage="0" showErrorMessage="1" allowBlank="1" errorTitle="Inválido" error="Não pode ser negativo." type="decimal" errorStyle="stop" operator="greaterThanOrEqual">
      <formula1>0</formula1>
    </dataValidation>
    <dataValidation sqref="H229" showDropDown="0" showInputMessage="0" showErrorMessage="1" allowBlank="1" errorTitle="Rejeição maior que o apresentado" error="A rejeição não pode ser maior que a quantidade apresentada." type="custom" errorStyle="stop">
      <formula1>AND(H229&gt;=0,H229&lt;=G229)</formula1>
    </dataValidation>
    <dataValidation sqref="A230" showDropDown="0" showInputMessage="0" showErrorMessage="1" allowBlank="1" errorTitle="Número de recebimento inválido" error="Escolha um número de recebimento já lançado na seção 1." type="list">
      <formula1>=$A$7:$A$56</formula1>
    </dataValidation>
    <dataValidation sqref="D230" showDropDown="0" showInputMessage="0" showErrorMessage="1" allowBlank="1" errorTitle="Código não cadastrado" error="Escolha um código de escola da lista." type="list">
      <formula1>='Entrada de Dados'!$A$6:$A$196</formula1>
    </dataValidation>
    <dataValidation sqref="G230" showDropDown="0" showInputMessage="0" showErrorMessage="1" allowBlank="1" errorTitle="Inválido" error="Não pode ser negativo." type="decimal" errorStyle="stop" operator="greaterThanOrEqual">
      <formula1>0</formula1>
    </dataValidation>
    <dataValidation sqref="H230" showDropDown="0" showInputMessage="0" showErrorMessage="1" allowBlank="1" errorTitle="Rejeição maior que o apresentado" error="A rejeição não pode ser maior que a quantidade apresentada." type="custom" errorStyle="stop">
      <formula1>AND(H230&gt;=0,H230&lt;=G230)</formula1>
    </dataValidation>
    <dataValidation sqref="A231" showDropDown="0" showInputMessage="0" showErrorMessage="1" allowBlank="1" errorTitle="Número de recebimento inválido" error="Escolha um número de recebimento já lançado na seção 1." type="list">
      <formula1>=$A$7:$A$56</formula1>
    </dataValidation>
    <dataValidation sqref="D231" showDropDown="0" showInputMessage="0" showErrorMessage="1" allowBlank="1" errorTitle="Código não cadastrado" error="Escolha um código de escola da lista." type="list">
      <formula1>='Entrada de Dados'!$A$6:$A$196</formula1>
    </dataValidation>
    <dataValidation sqref="G231" showDropDown="0" showInputMessage="0" showErrorMessage="1" allowBlank="1" errorTitle="Inválido" error="Não pode ser negativo." type="decimal" errorStyle="stop" operator="greaterThanOrEqual">
      <formula1>0</formula1>
    </dataValidation>
    <dataValidation sqref="H231" showDropDown="0" showInputMessage="0" showErrorMessage="1" allowBlank="1" errorTitle="Rejeição maior que o apresentado" error="A rejeição não pode ser maior que a quantidade apresentada." type="custom" errorStyle="stop">
      <formula1>AND(H231&gt;=0,H231&lt;=G231)</formula1>
    </dataValidation>
    <dataValidation sqref="A232" showDropDown="0" showInputMessage="0" showErrorMessage="1" allowBlank="1" errorTitle="Número de recebimento inválido" error="Escolha um número de recebimento já lançado na seção 1." type="list">
      <formula1>=$A$7:$A$56</formula1>
    </dataValidation>
    <dataValidation sqref="D232" showDropDown="0" showInputMessage="0" showErrorMessage="1" allowBlank="1" errorTitle="Código não cadastrado" error="Escolha um código de escola da lista." type="list">
      <formula1>='Entrada de Dados'!$A$6:$A$196</formula1>
    </dataValidation>
    <dataValidation sqref="G232" showDropDown="0" showInputMessage="0" showErrorMessage="1" allowBlank="1" errorTitle="Inválido" error="Não pode ser negativo." type="decimal" errorStyle="stop" operator="greaterThanOrEqual">
      <formula1>0</formula1>
    </dataValidation>
    <dataValidation sqref="H232" showDropDown="0" showInputMessage="0" showErrorMessage="1" allowBlank="1" errorTitle="Rejeição maior que o apresentado" error="A rejeição não pode ser maior que a quantidade apresentada." type="custom" errorStyle="stop">
      <formula1>AND(H232&gt;=0,H232&lt;=G232)</formula1>
    </dataValidation>
    <dataValidation sqref="A233" showDropDown="0" showInputMessage="0" showErrorMessage="1" allowBlank="1" errorTitle="Número de recebimento inválido" error="Escolha um número de recebimento já lançado na seção 1." type="list">
      <formula1>=$A$7:$A$56</formula1>
    </dataValidation>
    <dataValidation sqref="D233" showDropDown="0" showInputMessage="0" showErrorMessage="1" allowBlank="1" errorTitle="Código não cadastrado" error="Escolha um código de escola da lista." type="list">
      <formula1>='Entrada de Dados'!$A$6:$A$196</formula1>
    </dataValidation>
    <dataValidation sqref="G233" showDropDown="0" showInputMessage="0" showErrorMessage="1" allowBlank="1" errorTitle="Inválido" error="Não pode ser negativo." type="decimal" errorStyle="stop" operator="greaterThanOrEqual">
      <formula1>0</formula1>
    </dataValidation>
    <dataValidation sqref="H233" showDropDown="0" showInputMessage="0" showErrorMessage="1" allowBlank="1" errorTitle="Rejeição maior que o apresentado" error="A rejeição não pode ser maior que a quantidade apresentada." type="custom" errorStyle="stop">
      <formula1>AND(H233&gt;=0,H233&lt;=G233)</formula1>
    </dataValidation>
    <dataValidation sqref="A234" showDropDown="0" showInputMessage="0" showErrorMessage="1" allowBlank="1" errorTitle="Número de recebimento inválido" error="Escolha um número de recebimento já lançado na seção 1." type="list">
      <formula1>=$A$7:$A$56</formula1>
    </dataValidation>
    <dataValidation sqref="D234" showDropDown="0" showInputMessage="0" showErrorMessage="1" allowBlank="1" errorTitle="Código não cadastrado" error="Escolha um código de escola da lista." type="list">
      <formula1>='Entrada de Dados'!$A$6:$A$196</formula1>
    </dataValidation>
    <dataValidation sqref="G234" showDropDown="0" showInputMessage="0" showErrorMessage="1" allowBlank="1" errorTitle="Inválido" error="Não pode ser negativo." type="decimal" errorStyle="stop" operator="greaterThanOrEqual">
      <formula1>0</formula1>
    </dataValidation>
    <dataValidation sqref="H234" showDropDown="0" showInputMessage="0" showErrorMessage="1" allowBlank="1" errorTitle="Rejeição maior que o apresentado" error="A rejeição não pode ser maior que a quantidade apresentada." type="custom" errorStyle="stop">
      <formula1>AND(H234&gt;=0,H234&lt;=G234)</formula1>
    </dataValidation>
    <dataValidation sqref="A235" showDropDown="0" showInputMessage="0" showErrorMessage="1" allowBlank="1" errorTitle="Número de recebimento inválido" error="Escolha um número de recebimento já lançado na seção 1." type="list">
      <formula1>=$A$7:$A$56</formula1>
    </dataValidation>
    <dataValidation sqref="D235" showDropDown="0" showInputMessage="0" showErrorMessage="1" allowBlank="1" errorTitle="Código não cadastrado" error="Escolha um código de escola da lista." type="list">
      <formula1>='Entrada de Dados'!$A$6:$A$196</formula1>
    </dataValidation>
    <dataValidation sqref="G235" showDropDown="0" showInputMessage="0" showErrorMessage="1" allowBlank="1" errorTitle="Inválido" error="Não pode ser negativo." type="decimal" errorStyle="stop" operator="greaterThanOrEqual">
      <formula1>0</formula1>
    </dataValidation>
    <dataValidation sqref="H235" showDropDown="0" showInputMessage="0" showErrorMessage="1" allowBlank="1" errorTitle="Rejeição maior que o apresentado" error="A rejeição não pode ser maior que a quantidade apresentada." type="custom" errorStyle="stop">
      <formula1>AND(H235&gt;=0,H235&lt;=G235)</formula1>
    </dataValidation>
    <dataValidation sqref="A236" showDropDown="0" showInputMessage="0" showErrorMessage="1" allowBlank="1" errorTitle="Número de recebimento inválido" error="Escolha um número de recebimento já lançado na seção 1." type="list">
      <formula1>=$A$7:$A$56</formula1>
    </dataValidation>
    <dataValidation sqref="D236" showDropDown="0" showInputMessage="0" showErrorMessage="1" allowBlank="1" errorTitle="Código não cadastrado" error="Escolha um código de escola da lista." type="list">
      <formula1>='Entrada de Dados'!$A$6:$A$196</formula1>
    </dataValidation>
    <dataValidation sqref="G236" showDropDown="0" showInputMessage="0" showErrorMessage="1" allowBlank="1" errorTitle="Inválido" error="Não pode ser negativo." type="decimal" errorStyle="stop" operator="greaterThanOrEqual">
      <formula1>0</formula1>
    </dataValidation>
    <dataValidation sqref="H236" showDropDown="0" showInputMessage="0" showErrorMessage="1" allowBlank="1" errorTitle="Rejeição maior que o apresentado" error="A rejeição não pode ser maior que a quantidade apresentada." type="custom" errorStyle="stop">
      <formula1>AND(H236&gt;=0,H236&lt;=G236)</formula1>
    </dataValidation>
    <dataValidation sqref="A237" showDropDown="0" showInputMessage="0" showErrorMessage="1" allowBlank="1" errorTitle="Número de recebimento inválido" error="Escolha um número de recebimento já lançado na seção 1." type="list">
      <formula1>=$A$7:$A$56</formula1>
    </dataValidation>
    <dataValidation sqref="D237" showDropDown="0" showInputMessage="0" showErrorMessage="1" allowBlank="1" errorTitle="Código não cadastrado" error="Escolha um código de escola da lista." type="list">
      <formula1>='Entrada de Dados'!$A$6:$A$196</formula1>
    </dataValidation>
    <dataValidation sqref="G237" showDropDown="0" showInputMessage="0" showErrorMessage="1" allowBlank="1" errorTitle="Inválido" error="Não pode ser negativo." type="decimal" errorStyle="stop" operator="greaterThanOrEqual">
      <formula1>0</formula1>
    </dataValidation>
    <dataValidation sqref="H237" showDropDown="0" showInputMessage="0" showErrorMessage="1" allowBlank="1" errorTitle="Rejeição maior que o apresentado" error="A rejeição não pode ser maior que a quantidade apresentada." type="custom" errorStyle="stop">
      <formula1>AND(H237&gt;=0,H237&lt;=G237)</formula1>
    </dataValidation>
    <dataValidation sqref="A238" showDropDown="0" showInputMessage="0" showErrorMessage="1" allowBlank="1" errorTitle="Número de recebimento inválido" error="Escolha um número de recebimento já lançado na seção 1." type="list">
      <formula1>=$A$7:$A$56</formula1>
    </dataValidation>
    <dataValidation sqref="D238" showDropDown="0" showInputMessage="0" showErrorMessage="1" allowBlank="1" errorTitle="Código não cadastrado" error="Escolha um código de escola da lista." type="list">
      <formula1>='Entrada de Dados'!$A$6:$A$196</formula1>
    </dataValidation>
    <dataValidation sqref="G238" showDropDown="0" showInputMessage="0" showErrorMessage="1" allowBlank="1" errorTitle="Inválido" error="Não pode ser negativo." type="decimal" errorStyle="stop" operator="greaterThanOrEqual">
      <formula1>0</formula1>
    </dataValidation>
    <dataValidation sqref="H238" showDropDown="0" showInputMessage="0" showErrorMessage="1" allowBlank="1" errorTitle="Rejeição maior que o apresentado" error="A rejeição não pode ser maior que a quantidade apresentada." type="custom" errorStyle="stop">
      <formula1>AND(H238&gt;=0,H238&lt;=G238)</formula1>
    </dataValidation>
    <dataValidation sqref="A239" showDropDown="0" showInputMessage="0" showErrorMessage="1" allowBlank="1" errorTitle="Número de recebimento inválido" error="Escolha um número de recebimento já lançado na seção 1." type="list">
      <formula1>=$A$7:$A$56</formula1>
    </dataValidation>
    <dataValidation sqref="D239" showDropDown="0" showInputMessage="0" showErrorMessage="1" allowBlank="1" errorTitle="Código não cadastrado" error="Escolha um código de escola da lista." type="list">
      <formula1>='Entrada de Dados'!$A$6:$A$196</formula1>
    </dataValidation>
    <dataValidation sqref="G239" showDropDown="0" showInputMessage="0" showErrorMessage="1" allowBlank="1" errorTitle="Inválido" error="Não pode ser negativo." type="decimal" errorStyle="stop" operator="greaterThanOrEqual">
      <formula1>0</formula1>
    </dataValidation>
    <dataValidation sqref="H239" showDropDown="0" showInputMessage="0" showErrorMessage="1" allowBlank="1" errorTitle="Rejeição maior que o apresentado" error="A rejeição não pode ser maior que a quantidade apresentada." type="custom" errorStyle="stop">
      <formula1>AND(H239&gt;=0,H239&lt;=G239)</formula1>
    </dataValidation>
    <dataValidation sqref="A240" showDropDown="0" showInputMessage="0" showErrorMessage="1" allowBlank="1" errorTitle="Número de recebimento inválido" error="Escolha um número de recebimento já lançado na seção 1." type="list">
      <formula1>=$A$7:$A$56</formula1>
    </dataValidation>
    <dataValidation sqref="D240" showDropDown="0" showInputMessage="0" showErrorMessage="1" allowBlank="1" errorTitle="Código não cadastrado" error="Escolha um código de escola da lista." type="list">
      <formula1>='Entrada de Dados'!$A$6:$A$196</formula1>
    </dataValidation>
    <dataValidation sqref="G240" showDropDown="0" showInputMessage="0" showErrorMessage="1" allowBlank="1" errorTitle="Inválido" error="Não pode ser negativo." type="decimal" errorStyle="stop" operator="greaterThanOrEqual">
      <formula1>0</formula1>
    </dataValidation>
    <dataValidation sqref="H240" showDropDown="0" showInputMessage="0" showErrorMessage="1" allowBlank="1" errorTitle="Rejeição maior que o apresentado" error="A rejeição não pode ser maior que a quantidade apresentada." type="custom" errorStyle="stop">
      <formula1>AND(H240&gt;=0,H240&lt;=G240)</formula1>
    </dataValidation>
    <dataValidation sqref="A241" showDropDown="0" showInputMessage="0" showErrorMessage="1" allowBlank="1" errorTitle="Número de recebimento inválido" error="Escolha um número de recebimento já lançado na seção 1." type="list">
      <formula1>=$A$7:$A$56</formula1>
    </dataValidation>
    <dataValidation sqref="D241" showDropDown="0" showInputMessage="0" showErrorMessage="1" allowBlank="1" errorTitle="Código não cadastrado" error="Escolha um código de escola da lista." type="list">
      <formula1>='Entrada de Dados'!$A$6:$A$196</formula1>
    </dataValidation>
    <dataValidation sqref="G241" showDropDown="0" showInputMessage="0" showErrorMessage="1" allowBlank="1" errorTitle="Inválido" error="Não pode ser negativo." type="decimal" errorStyle="stop" operator="greaterThanOrEqual">
      <formula1>0</formula1>
    </dataValidation>
    <dataValidation sqref="H241" showDropDown="0" showInputMessage="0" showErrorMessage="1" allowBlank="1" errorTitle="Rejeição maior que o apresentado" error="A rejeição não pode ser maior que a quantidade apresentada." type="custom" errorStyle="stop">
      <formula1>AND(H241&gt;=0,H241&lt;=G241)</formula1>
    </dataValidation>
    <dataValidation sqref="A242" showDropDown="0" showInputMessage="0" showErrorMessage="1" allowBlank="1" errorTitle="Número de recebimento inválido" error="Escolha um número de recebimento já lançado na seção 1." type="list">
      <formula1>=$A$7:$A$56</formula1>
    </dataValidation>
    <dataValidation sqref="D242" showDropDown="0" showInputMessage="0" showErrorMessage="1" allowBlank="1" errorTitle="Código não cadastrado" error="Escolha um código de escola da lista." type="list">
      <formula1>='Entrada de Dados'!$A$6:$A$196</formula1>
    </dataValidation>
    <dataValidation sqref="G242" showDropDown="0" showInputMessage="0" showErrorMessage="1" allowBlank="1" errorTitle="Inválido" error="Não pode ser negativo." type="decimal" errorStyle="stop" operator="greaterThanOrEqual">
      <formula1>0</formula1>
    </dataValidation>
    <dataValidation sqref="H242" showDropDown="0" showInputMessage="0" showErrorMessage="1" allowBlank="1" errorTitle="Rejeição maior que o apresentado" error="A rejeição não pode ser maior que a quantidade apresentada." type="custom" errorStyle="stop">
      <formula1>AND(H242&gt;=0,H242&lt;=G242)</formula1>
    </dataValidation>
    <dataValidation sqref="A243" showDropDown="0" showInputMessage="0" showErrorMessage="1" allowBlank="1" errorTitle="Número de recebimento inválido" error="Escolha um número de recebimento já lançado na seção 1." type="list">
      <formula1>=$A$7:$A$56</formula1>
    </dataValidation>
    <dataValidation sqref="D243" showDropDown="0" showInputMessage="0" showErrorMessage="1" allowBlank="1" errorTitle="Código não cadastrado" error="Escolha um código de escola da lista." type="list">
      <formula1>='Entrada de Dados'!$A$6:$A$196</formula1>
    </dataValidation>
    <dataValidation sqref="G243" showDropDown="0" showInputMessage="0" showErrorMessage="1" allowBlank="1" errorTitle="Inválido" error="Não pode ser negativo." type="decimal" errorStyle="stop" operator="greaterThanOrEqual">
      <formula1>0</formula1>
    </dataValidation>
    <dataValidation sqref="H243" showDropDown="0" showInputMessage="0" showErrorMessage="1" allowBlank="1" errorTitle="Rejeição maior que o apresentado" error="A rejeição não pode ser maior que a quantidade apresentada." type="custom" errorStyle="stop">
      <formula1>AND(H243&gt;=0,H243&lt;=G243)</formula1>
    </dataValidation>
    <dataValidation sqref="A244" showDropDown="0" showInputMessage="0" showErrorMessage="1" allowBlank="1" errorTitle="Número de recebimento inválido" error="Escolha um número de recebimento já lançado na seção 1." type="list">
      <formula1>=$A$7:$A$56</formula1>
    </dataValidation>
    <dataValidation sqref="D244" showDropDown="0" showInputMessage="0" showErrorMessage="1" allowBlank="1" errorTitle="Código não cadastrado" error="Escolha um código de escola da lista." type="list">
      <formula1>='Entrada de Dados'!$A$6:$A$196</formula1>
    </dataValidation>
    <dataValidation sqref="G244" showDropDown="0" showInputMessage="0" showErrorMessage="1" allowBlank="1" errorTitle="Inválido" error="Não pode ser negativo." type="decimal" errorStyle="stop" operator="greaterThanOrEqual">
      <formula1>0</formula1>
    </dataValidation>
    <dataValidation sqref="H244" showDropDown="0" showInputMessage="0" showErrorMessage="1" allowBlank="1" errorTitle="Rejeição maior que o apresentado" error="A rejeição não pode ser maior que a quantidade apresentada." type="custom" errorStyle="stop">
      <formula1>AND(H244&gt;=0,H244&lt;=G244)</formula1>
    </dataValidation>
    <dataValidation sqref="A245" showDropDown="0" showInputMessage="0" showErrorMessage="1" allowBlank="1" errorTitle="Número de recebimento inválido" error="Escolha um número de recebimento já lançado na seção 1." type="list">
      <formula1>=$A$7:$A$56</formula1>
    </dataValidation>
    <dataValidation sqref="D245" showDropDown="0" showInputMessage="0" showErrorMessage="1" allowBlank="1" errorTitle="Código não cadastrado" error="Escolha um código de escola da lista." type="list">
      <formula1>='Entrada de Dados'!$A$6:$A$196</formula1>
    </dataValidation>
    <dataValidation sqref="G245" showDropDown="0" showInputMessage="0" showErrorMessage="1" allowBlank="1" errorTitle="Inválido" error="Não pode ser negativo." type="decimal" errorStyle="stop" operator="greaterThanOrEqual">
      <formula1>0</formula1>
    </dataValidation>
    <dataValidation sqref="H245" showDropDown="0" showInputMessage="0" showErrorMessage="1" allowBlank="1" errorTitle="Rejeição maior que o apresentado" error="A rejeição não pode ser maior que a quantidade apresentada." type="custom" errorStyle="stop">
      <formula1>AND(H245&gt;=0,H245&lt;=G245)</formula1>
    </dataValidation>
    <dataValidation sqref="A246" showDropDown="0" showInputMessage="0" showErrorMessage="1" allowBlank="1" errorTitle="Número de recebimento inválido" error="Escolha um número de recebimento já lançado na seção 1." type="list">
      <formula1>=$A$7:$A$56</formula1>
    </dataValidation>
    <dataValidation sqref="D246" showDropDown="0" showInputMessage="0" showErrorMessage="1" allowBlank="1" errorTitle="Código não cadastrado" error="Escolha um código de escola da lista." type="list">
      <formula1>='Entrada de Dados'!$A$6:$A$196</formula1>
    </dataValidation>
    <dataValidation sqref="G246" showDropDown="0" showInputMessage="0" showErrorMessage="1" allowBlank="1" errorTitle="Inválido" error="Não pode ser negativo." type="decimal" errorStyle="stop" operator="greaterThanOrEqual">
      <formula1>0</formula1>
    </dataValidation>
    <dataValidation sqref="H246" showDropDown="0" showInputMessage="0" showErrorMessage="1" allowBlank="1" errorTitle="Rejeição maior que o apresentado" error="A rejeição não pode ser maior que a quantidade apresentada." type="custom" errorStyle="stop">
      <formula1>AND(H246&gt;=0,H246&lt;=G246)</formula1>
    </dataValidation>
    <dataValidation sqref="A247" showDropDown="0" showInputMessage="0" showErrorMessage="1" allowBlank="1" errorTitle="Número de recebimento inválido" error="Escolha um número de recebimento já lançado na seção 1." type="list">
      <formula1>=$A$7:$A$56</formula1>
    </dataValidation>
    <dataValidation sqref="D247" showDropDown="0" showInputMessage="0" showErrorMessage="1" allowBlank="1" errorTitle="Código não cadastrado" error="Escolha um código de escola da lista." type="list">
      <formula1>='Entrada de Dados'!$A$6:$A$196</formula1>
    </dataValidation>
    <dataValidation sqref="G247" showDropDown="0" showInputMessage="0" showErrorMessage="1" allowBlank="1" errorTitle="Inválido" error="Não pode ser negativo." type="decimal" errorStyle="stop" operator="greaterThanOrEqual">
      <formula1>0</formula1>
    </dataValidation>
    <dataValidation sqref="H247" showDropDown="0" showInputMessage="0" showErrorMessage="1" allowBlank="1" errorTitle="Rejeição maior que o apresentado" error="A rejeição não pode ser maior que a quantidade apresentada." type="custom" errorStyle="stop">
      <formula1>AND(H247&gt;=0,H247&lt;=G247)</formula1>
    </dataValidation>
    <dataValidation sqref="A248" showDropDown="0" showInputMessage="0" showErrorMessage="1" allowBlank="1" errorTitle="Número de recebimento inválido" error="Escolha um número de recebimento já lançado na seção 1." type="list">
      <formula1>=$A$7:$A$56</formula1>
    </dataValidation>
    <dataValidation sqref="D248" showDropDown="0" showInputMessage="0" showErrorMessage="1" allowBlank="1" errorTitle="Código não cadastrado" error="Escolha um código de escola da lista." type="list">
      <formula1>='Entrada de Dados'!$A$6:$A$196</formula1>
    </dataValidation>
    <dataValidation sqref="G248" showDropDown="0" showInputMessage="0" showErrorMessage="1" allowBlank="1" errorTitle="Inválido" error="Não pode ser negativo." type="decimal" errorStyle="stop" operator="greaterThanOrEqual">
      <formula1>0</formula1>
    </dataValidation>
    <dataValidation sqref="H248" showDropDown="0" showInputMessage="0" showErrorMessage="1" allowBlank="1" errorTitle="Rejeição maior que o apresentado" error="A rejeição não pode ser maior que a quantidade apresentada." type="custom" errorStyle="stop">
      <formula1>AND(H248&gt;=0,H248&lt;=G248)</formula1>
    </dataValidation>
    <dataValidation sqref="A249" showDropDown="0" showInputMessage="0" showErrorMessage="1" allowBlank="1" errorTitle="Número de recebimento inválido" error="Escolha um número de recebimento já lançado na seção 1." type="list">
      <formula1>=$A$7:$A$56</formula1>
    </dataValidation>
    <dataValidation sqref="D249" showDropDown="0" showInputMessage="0" showErrorMessage="1" allowBlank="1" errorTitle="Código não cadastrado" error="Escolha um código de escola da lista." type="list">
      <formula1>='Entrada de Dados'!$A$6:$A$196</formula1>
    </dataValidation>
    <dataValidation sqref="G249" showDropDown="0" showInputMessage="0" showErrorMessage="1" allowBlank="1" errorTitle="Inválido" error="Não pode ser negativo." type="decimal" errorStyle="stop" operator="greaterThanOrEqual">
      <formula1>0</formula1>
    </dataValidation>
    <dataValidation sqref="H249" showDropDown="0" showInputMessage="0" showErrorMessage="1" allowBlank="1" errorTitle="Rejeição maior que o apresentado" error="A rejeição não pode ser maior que a quantidade apresentada." type="custom" errorStyle="stop">
      <formula1>AND(H249&gt;=0,H249&lt;=G249)</formula1>
    </dataValidation>
    <dataValidation sqref="A250" showDropDown="0" showInputMessage="0" showErrorMessage="1" allowBlank="1" errorTitle="Número de recebimento inválido" error="Escolha um número de recebimento já lançado na seção 1." type="list">
      <formula1>=$A$7:$A$56</formula1>
    </dataValidation>
    <dataValidation sqref="D250" showDropDown="0" showInputMessage="0" showErrorMessage="1" allowBlank="1" errorTitle="Código não cadastrado" error="Escolha um código de escola da lista." type="list">
      <formula1>='Entrada de Dados'!$A$6:$A$196</formula1>
    </dataValidation>
    <dataValidation sqref="G250" showDropDown="0" showInputMessage="0" showErrorMessage="1" allowBlank="1" errorTitle="Inválido" error="Não pode ser negativo." type="decimal" errorStyle="stop" operator="greaterThanOrEqual">
      <formula1>0</formula1>
    </dataValidation>
    <dataValidation sqref="H250" showDropDown="0" showInputMessage="0" showErrorMessage="1" allowBlank="1" errorTitle="Rejeição maior que o apresentado" error="A rejeição não pode ser maior que a quantidade apresentada." type="custom" errorStyle="stop">
      <formula1>AND(H250&gt;=0,H250&lt;=G250)</formula1>
    </dataValidation>
    <dataValidation sqref="A251" showDropDown="0" showInputMessage="0" showErrorMessage="1" allowBlank="1" errorTitle="Número de recebimento inválido" error="Escolha um número de recebimento já lançado na seção 1." type="list">
      <formula1>=$A$7:$A$56</formula1>
    </dataValidation>
    <dataValidation sqref="D251" showDropDown="0" showInputMessage="0" showErrorMessage="1" allowBlank="1" errorTitle="Código não cadastrado" error="Escolha um código de escola da lista." type="list">
      <formula1>='Entrada de Dados'!$A$6:$A$196</formula1>
    </dataValidation>
    <dataValidation sqref="G251" showDropDown="0" showInputMessage="0" showErrorMessage="1" allowBlank="1" errorTitle="Inválido" error="Não pode ser negativo." type="decimal" errorStyle="stop" operator="greaterThanOrEqual">
      <formula1>0</formula1>
    </dataValidation>
    <dataValidation sqref="H251" showDropDown="0" showInputMessage="0" showErrorMessage="1" allowBlank="1" errorTitle="Rejeição maior que o apresentado" error="A rejeição não pode ser maior que a quantidade apresentada." type="custom" errorStyle="stop">
      <formula1>AND(H251&gt;=0,H251&lt;=G251)</formula1>
    </dataValidation>
    <dataValidation sqref="A252" showDropDown="0" showInputMessage="0" showErrorMessage="1" allowBlank="1" errorTitle="Número de recebimento inválido" error="Escolha um número de recebimento já lançado na seção 1." type="list">
      <formula1>=$A$7:$A$56</formula1>
    </dataValidation>
    <dataValidation sqref="D252" showDropDown="0" showInputMessage="0" showErrorMessage="1" allowBlank="1" errorTitle="Código não cadastrado" error="Escolha um código de escola da lista." type="list">
      <formula1>='Entrada de Dados'!$A$6:$A$196</formula1>
    </dataValidation>
    <dataValidation sqref="G252" showDropDown="0" showInputMessage="0" showErrorMessage="1" allowBlank="1" errorTitle="Inválido" error="Não pode ser negativo." type="decimal" errorStyle="stop" operator="greaterThanOrEqual">
      <formula1>0</formula1>
    </dataValidation>
    <dataValidation sqref="H252" showDropDown="0" showInputMessage="0" showErrorMessage="1" allowBlank="1" errorTitle="Rejeição maior que o apresentado" error="A rejeição não pode ser maior que a quantidade apresentada." type="custom" errorStyle="stop">
      <formula1>AND(H252&gt;=0,H252&lt;=G252)</formula1>
    </dataValidation>
    <dataValidation sqref="A253" showDropDown="0" showInputMessage="0" showErrorMessage="1" allowBlank="1" errorTitle="Número de recebimento inválido" error="Escolha um número de recebimento já lançado na seção 1." type="list">
      <formula1>=$A$7:$A$56</formula1>
    </dataValidation>
    <dataValidation sqref="D253" showDropDown="0" showInputMessage="0" showErrorMessage="1" allowBlank="1" errorTitle="Código não cadastrado" error="Escolha um código de escola da lista." type="list">
      <formula1>='Entrada de Dados'!$A$6:$A$196</formula1>
    </dataValidation>
    <dataValidation sqref="G253" showDropDown="0" showInputMessage="0" showErrorMessage="1" allowBlank="1" errorTitle="Inválido" error="Não pode ser negativo." type="decimal" errorStyle="stop" operator="greaterThanOrEqual">
      <formula1>0</formula1>
    </dataValidation>
    <dataValidation sqref="H253" showDropDown="0" showInputMessage="0" showErrorMessage="1" allowBlank="1" errorTitle="Rejeição maior que o apresentado" error="A rejeição não pode ser maior que a quantidade apresentada." type="custom" errorStyle="stop">
      <formula1>AND(H253&gt;=0,H253&lt;=G253)</formula1>
    </dataValidation>
    <dataValidation sqref="A254" showDropDown="0" showInputMessage="0" showErrorMessage="1" allowBlank="1" errorTitle="Número de recebimento inválido" error="Escolha um número de recebimento já lançado na seção 1." type="list">
      <formula1>=$A$7:$A$56</formula1>
    </dataValidation>
    <dataValidation sqref="D254" showDropDown="0" showInputMessage="0" showErrorMessage="1" allowBlank="1" errorTitle="Código não cadastrado" error="Escolha um código de escola da lista." type="list">
      <formula1>='Entrada de Dados'!$A$6:$A$196</formula1>
    </dataValidation>
    <dataValidation sqref="G254" showDropDown="0" showInputMessage="0" showErrorMessage="1" allowBlank="1" errorTitle="Inválido" error="Não pode ser negativo." type="decimal" errorStyle="stop" operator="greaterThanOrEqual">
      <formula1>0</formula1>
    </dataValidation>
    <dataValidation sqref="H254" showDropDown="0" showInputMessage="0" showErrorMessage="1" allowBlank="1" errorTitle="Rejeição maior que o apresentado" error="A rejeição não pode ser maior que a quantidade apresentada." type="custom" errorStyle="stop">
      <formula1>AND(H254&gt;=0,H254&lt;=G254)</formula1>
    </dataValidation>
    <dataValidation sqref="A255" showDropDown="0" showInputMessage="0" showErrorMessage="1" allowBlank="1" errorTitle="Número de recebimento inválido" error="Escolha um número de recebimento já lançado na seção 1." type="list">
      <formula1>=$A$7:$A$56</formula1>
    </dataValidation>
    <dataValidation sqref="D255" showDropDown="0" showInputMessage="0" showErrorMessage="1" allowBlank="1" errorTitle="Código não cadastrado" error="Escolha um código de escola da lista." type="list">
      <formula1>='Entrada de Dados'!$A$6:$A$196</formula1>
    </dataValidation>
    <dataValidation sqref="G255" showDropDown="0" showInputMessage="0" showErrorMessage="1" allowBlank="1" errorTitle="Inválido" error="Não pode ser negativo." type="decimal" errorStyle="stop" operator="greaterThanOrEqual">
      <formula1>0</formula1>
    </dataValidation>
    <dataValidation sqref="H255" showDropDown="0" showInputMessage="0" showErrorMessage="1" allowBlank="1" errorTitle="Rejeição maior que o apresentado" error="A rejeição não pode ser maior que a quantidade apresentada." type="custom" errorStyle="stop">
      <formula1>AND(H255&gt;=0,H255&lt;=G255)</formula1>
    </dataValidation>
    <dataValidation sqref="A256" showDropDown="0" showInputMessage="0" showErrorMessage="1" allowBlank="1" errorTitle="Número de recebimento inválido" error="Escolha um número de recebimento já lançado na seção 1." type="list">
      <formula1>=$A$7:$A$56</formula1>
    </dataValidation>
    <dataValidation sqref="D256" showDropDown="0" showInputMessage="0" showErrorMessage="1" allowBlank="1" errorTitle="Código não cadastrado" error="Escolha um código de escola da lista." type="list">
      <formula1>='Entrada de Dados'!$A$6:$A$196</formula1>
    </dataValidation>
    <dataValidation sqref="G256" showDropDown="0" showInputMessage="0" showErrorMessage="1" allowBlank="1" errorTitle="Inválido" error="Não pode ser negativo." type="decimal" errorStyle="stop" operator="greaterThanOrEqual">
      <formula1>0</formula1>
    </dataValidation>
    <dataValidation sqref="H256" showDropDown="0" showInputMessage="0" showErrorMessage="1" allowBlank="1" errorTitle="Rejeição maior que o apresentado" error="A rejeição não pode ser maior que a quantidade apresentada." type="custom" errorStyle="stop">
      <formula1>AND(H256&gt;=0,H256&lt;=G256)</formula1>
    </dataValidation>
    <dataValidation sqref="A257" showDropDown="0" showInputMessage="0" showErrorMessage="1" allowBlank="1" errorTitle="Número de recebimento inválido" error="Escolha um número de recebimento já lançado na seção 1." type="list">
      <formula1>=$A$7:$A$56</formula1>
    </dataValidation>
    <dataValidation sqref="D257" showDropDown="0" showInputMessage="0" showErrorMessage="1" allowBlank="1" errorTitle="Código não cadastrado" error="Escolha um código de escola da lista." type="list">
      <formula1>='Entrada de Dados'!$A$6:$A$196</formula1>
    </dataValidation>
    <dataValidation sqref="G257" showDropDown="0" showInputMessage="0" showErrorMessage="1" allowBlank="1" errorTitle="Inválido" error="Não pode ser negativo." type="decimal" errorStyle="stop" operator="greaterThanOrEqual">
      <formula1>0</formula1>
    </dataValidation>
    <dataValidation sqref="H257" showDropDown="0" showInputMessage="0" showErrorMessage="1" allowBlank="1" errorTitle="Rejeição maior que o apresentado" error="A rejeição não pode ser maior que a quantidade apresentada." type="custom" errorStyle="stop">
      <formula1>AND(H257&gt;=0,H257&lt;=G257)</formula1>
    </dataValidation>
    <dataValidation sqref="A258" showDropDown="0" showInputMessage="0" showErrorMessage="1" allowBlank="1" errorTitle="Número de recebimento inválido" error="Escolha um número de recebimento já lançado na seção 1." type="list">
      <formula1>=$A$7:$A$56</formula1>
    </dataValidation>
    <dataValidation sqref="D258" showDropDown="0" showInputMessage="0" showErrorMessage="1" allowBlank="1" errorTitle="Código não cadastrado" error="Escolha um código de escola da lista." type="list">
      <formula1>='Entrada de Dados'!$A$6:$A$196</formula1>
    </dataValidation>
    <dataValidation sqref="G258" showDropDown="0" showInputMessage="0" showErrorMessage="1" allowBlank="1" errorTitle="Inválido" error="Não pode ser negativo." type="decimal" errorStyle="stop" operator="greaterThanOrEqual">
      <formula1>0</formula1>
    </dataValidation>
    <dataValidation sqref="H258" showDropDown="0" showInputMessage="0" showErrorMessage="1" allowBlank="1" errorTitle="Rejeição maior que o apresentado" error="A rejeição não pode ser maior que a quantidade apresentada." type="custom" errorStyle="stop">
      <formula1>AND(H258&gt;=0,H258&lt;=G258)</formula1>
    </dataValidation>
    <dataValidation sqref="A259" showDropDown="0" showInputMessage="0" showErrorMessage="1" allowBlank="1" errorTitle="Número de recebimento inválido" error="Escolha um número de recebimento já lançado na seção 1." type="list">
      <formula1>=$A$7:$A$56</formula1>
    </dataValidation>
    <dataValidation sqref="D259" showDropDown="0" showInputMessage="0" showErrorMessage="1" allowBlank="1" errorTitle="Código não cadastrado" error="Escolha um código de escola da lista." type="list">
      <formula1>='Entrada de Dados'!$A$6:$A$196</formula1>
    </dataValidation>
    <dataValidation sqref="G259" showDropDown="0" showInputMessage="0" showErrorMessage="1" allowBlank="1" errorTitle="Inválido" error="Não pode ser negativo." type="decimal" errorStyle="stop" operator="greaterThanOrEqual">
      <formula1>0</formula1>
    </dataValidation>
    <dataValidation sqref="H259" showDropDown="0" showInputMessage="0" showErrorMessage="1" allowBlank="1" errorTitle="Rejeição maior que o apresentado" error="A rejeição não pode ser maior que a quantidade apresentada." type="custom" errorStyle="stop">
      <formula1>AND(H259&gt;=0,H259&lt;=G259)</formula1>
    </dataValidation>
    <dataValidation sqref="A260" showDropDown="0" showInputMessage="0" showErrorMessage="1" allowBlank="1" errorTitle="Número de recebimento inválido" error="Escolha um número de recebimento já lançado na seção 1." type="list">
      <formula1>=$A$7:$A$56</formula1>
    </dataValidation>
    <dataValidation sqref="D260" showDropDown="0" showInputMessage="0" showErrorMessage="1" allowBlank="1" errorTitle="Código não cadastrado" error="Escolha um código de escola da lista." type="list">
      <formula1>='Entrada de Dados'!$A$6:$A$196</formula1>
    </dataValidation>
    <dataValidation sqref="G260" showDropDown="0" showInputMessage="0" showErrorMessage="1" allowBlank="1" errorTitle="Inválido" error="Não pode ser negativo." type="decimal" errorStyle="stop" operator="greaterThanOrEqual">
      <formula1>0</formula1>
    </dataValidation>
    <dataValidation sqref="H260" showDropDown="0" showInputMessage="0" showErrorMessage="1" allowBlank="1" errorTitle="Rejeição maior que o apresentado" error="A rejeição não pode ser maior que a quantidade apresentada." type="custom" errorStyle="stop">
      <formula1>AND(H260&gt;=0,H260&lt;=G260)</formula1>
    </dataValidation>
    <dataValidation sqref="A261" showDropDown="0" showInputMessage="0" showErrorMessage="1" allowBlank="1" errorTitle="Número de recebimento inválido" error="Escolha um número de recebimento já lançado na seção 1." type="list">
      <formula1>=$A$7:$A$56</formula1>
    </dataValidation>
    <dataValidation sqref="D261" showDropDown="0" showInputMessage="0" showErrorMessage="1" allowBlank="1" errorTitle="Código não cadastrado" error="Escolha um código de escola da lista." type="list">
      <formula1>='Entrada de Dados'!$A$6:$A$196</formula1>
    </dataValidation>
    <dataValidation sqref="G261" showDropDown="0" showInputMessage="0" showErrorMessage="1" allowBlank="1" errorTitle="Inválido" error="Não pode ser negativo." type="decimal" errorStyle="stop" operator="greaterThanOrEqual">
      <formula1>0</formula1>
    </dataValidation>
    <dataValidation sqref="H261" showDropDown="0" showInputMessage="0" showErrorMessage="1" allowBlank="1" errorTitle="Rejeição maior que o apresentado" error="A rejeição não pode ser maior que a quantidade apresentada." type="custom" errorStyle="stop">
      <formula1>AND(H261&gt;=0,H261&lt;=G261)</formula1>
    </dataValidation>
    <dataValidation sqref="A262" showDropDown="0" showInputMessage="0" showErrorMessage="1" allowBlank="1" errorTitle="Número de recebimento inválido" error="Escolha um número de recebimento já lançado na seção 1." type="list">
      <formula1>=$A$7:$A$56</formula1>
    </dataValidation>
    <dataValidation sqref="D262" showDropDown="0" showInputMessage="0" showErrorMessage="1" allowBlank="1" errorTitle="Código não cadastrado" error="Escolha um código de escola da lista." type="list">
      <formula1>='Entrada de Dados'!$A$6:$A$196</formula1>
    </dataValidation>
    <dataValidation sqref="G262" showDropDown="0" showInputMessage="0" showErrorMessage="1" allowBlank="1" errorTitle="Inválido" error="Não pode ser negativo." type="decimal" errorStyle="stop" operator="greaterThanOrEqual">
      <formula1>0</formula1>
    </dataValidation>
    <dataValidation sqref="H262" showDropDown="0" showInputMessage="0" showErrorMessage="1" allowBlank="1" errorTitle="Rejeição maior que o apresentado" error="A rejeição não pode ser maior que a quantidade apresentada." type="custom" errorStyle="stop">
      <formula1>AND(H262&gt;=0,H262&lt;=G262)</formula1>
    </dataValidation>
    <dataValidation sqref="A263" showDropDown="0" showInputMessage="0" showErrorMessage="1" allowBlank="1" errorTitle="Número de recebimento inválido" error="Escolha um número de recebimento já lançado na seção 1." type="list">
      <formula1>=$A$7:$A$56</formula1>
    </dataValidation>
    <dataValidation sqref="D263" showDropDown="0" showInputMessage="0" showErrorMessage="1" allowBlank="1" errorTitle="Código não cadastrado" error="Escolha um código de escola da lista." type="list">
      <formula1>='Entrada de Dados'!$A$6:$A$196</formula1>
    </dataValidation>
    <dataValidation sqref="G263" showDropDown="0" showInputMessage="0" showErrorMessage="1" allowBlank="1" errorTitle="Inválido" error="Não pode ser negativo." type="decimal" errorStyle="stop" operator="greaterThanOrEqual">
      <formula1>0</formula1>
    </dataValidation>
    <dataValidation sqref="H263" showDropDown="0" showInputMessage="0" showErrorMessage="1" allowBlank="1" errorTitle="Rejeição maior que o apresentado" error="A rejeição não pode ser maior que a quantidade apresentada." type="custom" errorStyle="stop">
      <formula1>AND(H263&gt;=0,H263&lt;=G263)</formula1>
    </dataValidation>
    <dataValidation sqref="A264" showDropDown="0" showInputMessage="0" showErrorMessage="1" allowBlank="1" errorTitle="Número de recebimento inválido" error="Escolha um número de recebimento já lançado na seção 1." type="list">
      <formula1>=$A$7:$A$56</formula1>
    </dataValidation>
    <dataValidation sqref="D264" showDropDown="0" showInputMessage="0" showErrorMessage="1" allowBlank="1" errorTitle="Código não cadastrado" error="Escolha um código de escola da lista." type="list">
      <formula1>='Entrada de Dados'!$A$6:$A$196</formula1>
    </dataValidation>
    <dataValidation sqref="G264" showDropDown="0" showInputMessage="0" showErrorMessage="1" allowBlank="1" errorTitle="Inválido" error="Não pode ser negativo." type="decimal" errorStyle="stop" operator="greaterThanOrEqual">
      <formula1>0</formula1>
    </dataValidation>
    <dataValidation sqref="H264" showDropDown="0" showInputMessage="0" showErrorMessage="1" allowBlank="1" errorTitle="Rejeição maior que o apresentado" error="A rejeição não pode ser maior que a quantidade apresentada." type="custom" errorStyle="stop">
      <formula1>AND(H264&gt;=0,H264&lt;=G264)</formula1>
    </dataValidation>
    <dataValidation sqref="A265" showDropDown="0" showInputMessage="0" showErrorMessage="1" allowBlank="1" errorTitle="Número de recebimento inválido" error="Escolha um número de recebimento já lançado na seção 1." type="list">
      <formula1>=$A$7:$A$56</formula1>
    </dataValidation>
    <dataValidation sqref="D265" showDropDown="0" showInputMessage="0" showErrorMessage="1" allowBlank="1" errorTitle="Código não cadastrado" error="Escolha um código de escola da lista." type="list">
      <formula1>='Entrada de Dados'!$A$6:$A$196</formula1>
    </dataValidation>
    <dataValidation sqref="G265" showDropDown="0" showInputMessage="0" showErrorMessage="1" allowBlank="1" errorTitle="Inválido" error="Não pode ser negativo." type="decimal" errorStyle="stop" operator="greaterThanOrEqual">
      <formula1>0</formula1>
    </dataValidation>
    <dataValidation sqref="H265" showDropDown="0" showInputMessage="0" showErrorMessage="1" allowBlank="1" errorTitle="Rejeição maior que o apresentado" error="A rejeição não pode ser maior que a quantidade apresentada." type="custom" errorStyle="stop">
      <formula1>AND(H265&gt;=0,H265&lt;=G265)</formula1>
    </dataValidation>
    <dataValidation sqref="A266" showDropDown="0" showInputMessage="0" showErrorMessage="1" allowBlank="1" errorTitle="Número de recebimento inválido" error="Escolha um número de recebimento já lançado na seção 1." type="list">
      <formula1>=$A$7:$A$56</formula1>
    </dataValidation>
    <dataValidation sqref="D266" showDropDown="0" showInputMessage="0" showErrorMessage="1" allowBlank="1" errorTitle="Código não cadastrado" error="Escolha um código de escola da lista." type="list">
      <formula1>='Entrada de Dados'!$A$6:$A$196</formula1>
    </dataValidation>
    <dataValidation sqref="G266" showDropDown="0" showInputMessage="0" showErrorMessage="1" allowBlank="1" errorTitle="Inválido" error="Não pode ser negativo." type="decimal" errorStyle="stop" operator="greaterThanOrEqual">
      <formula1>0</formula1>
    </dataValidation>
    <dataValidation sqref="H266" showDropDown="0" showInputMessage="0" showErrorMessage="1" allowBlank="1" errorTitle="Rejeição maior que o apresentado" error="A rejeição não pode ser maior que a quantidade apresentada." type="custom" errorStyle="stop">
      <formula1>AND(H266&gt;=0,H266&lt;=G266)</formula1>
    </dataValidation>
    <dataValidation sqref="A267" showDropDown="0" showInputMessage="0" showErrorMessage="1" allowBlank="1" errorTitle="Número de recebimento inválido" error="Escolha um número de recebimento já lançado na seção 1." type="list">
      <formula1>=$A$7:$A$56</formula1>
    </dataValidation>
    <dataValidation sqref="D267" showDropDown="0" showInputMessage="0" showErrorMessage="1" allowBlank="1" errorTitle="Código não cadastrado" error="Escolha um código de escola da lista." type="list">
      <formula1>='Entrada de Dados'!$A$6:$A$196</formula1>
    </dataValidation>
    <dataValidation sqref="G267" showDropDown="0" showInputMessage="0" showErrorMessage="1" allowBlank="1" errorTitle="Inválido" error="Não pode ser negativo." type="decimal" errorStyle="stop" operator="greaterThanOrEqual">
      <formula1>0</formula1>
    </dataValidation>
    <dataValidation sqref="H267" showDropDown="0" showInputMessage="0" showErrorMessage="1" allowBlank="1" errorTitle="Rejeição maior que o apresentado" error="A rejeição não pode ser maior que a quantidade apresentada." type="custom" errorStyle="stop">
      <formula1>AND(H267&gt;=0,H267&lt;=G267)</formula1>
    </dataValidation>
    <dataValidation sqref="A268" showDropDown="0" showInputMessage="0" showErrorMessage="1" allowBlank="1" errorTitle="Número de recebimento inválido" error="Escolha um número de recebimento já lançado na seção 1." type="list">
      <formula1>=$A$7:$A$56</formula1>
    </dataValidation>
    <dataValidation sqref="D268" showDropDown="0" showInputMessage="0" showErrorMessage="1" allowBlank="1" errorTitle="Código não cadastrado" error="Escolha um código de escola da lista." type="list">
      <formula1>='Entrada de Dados'!$A$6:$A$196</formula1>
    </dataValidation>
    <dataValidation sqref="G268" showDropDown="0" showInputMessage="0" showErrorMessage="1" allowBlank="1" errorTitle="Inválido" error="Não pode ser negativo." type="decimal" errorStyle="stop" operator="greaterThanOrEqual">
      <formula1>0</formula1>
    </dataValidation>
    <dataValidation sqref="H268" showDropDown="0" showInputMessage="0" showErrorMessage="1" allowBlank="1" errorTitle="Rejeição maior que o apresentado" error="A rejeição não pode ser maior que a quantidade apresentada." type="custom" errorStyle="stop">
      <formula1>AND(H268&gt;=0,H268&lt;=G268)</formula1>
    </dataValidation>
    <dataValidation sqref="A269" showDropDown="0" showInputMessage="0" showErrorMessage="1" allowBlank="1" errorTitle="Número de recebimento inválido" error="Escolha um número de recebimento já lançado na seção 1." type="list">
      <formula1>=$A$7:$A$56</formula1>
    </dataValidation>
    <dataValidation sqref="D269" showDropDown="0" showInputMessage="0" showErrorMessage="1" allowBlank="1" errorTitle="Código não cadastrado" error="Escolha um código de escola da lista." type="list">
      <formula1>='Entrada de Dados'!$A$6:$A$196</formula1>
    </dataValidation>
    <dataValidation sqref="G269" showDropDown="0" showInputMessage="0" showErrorMessage="1" allowBlank="1" errorTitle="Inválido" error="Não pode ser negativo." type="decimal" errorStyle="stop" operator="greaterThanOrEqual">
      <formula1>0</formula1>
    </dataValidation>
    <dataValidation sqref="H269" showDropDown="0" showInputMessage="0" showErrorMessage="1" allowBlank="1" errorTitle="Rejeição maior que o apresentado" error="A rejeição não pode ser maior que a quantidade apresentada." type="custom" errorStyle="stop">
      <formula1>AND(H269&gt;=0,H269&lt;=G269)</formula1>
    </dataValidation>
    <dataValidation sqref="A270" showDropDown="0" showInputMessage="0" showErrorMessage="1" allowBlank="1" errorTitle="Número de recebimento inválido" error="Escolha um número de recebimento já lançado na seção 1." type="list">
      <formula1>=$A$7:$A$56</formula1>
    </dataValidation>
    <dataValidation sqref="D270" showDropDown="0" showInputMessage="0" showErrorMessage="1" allowBlank="1" errorTitle="Código não cadastrado" error="Escolha um código de escola da lista." type="list">
      <formula1>='Entrada de Dados'!$A$6:$A$196</formula1>
    </dataValidation>
    <dataValidation sqref="G270" showDropDown="0" showInputMessage="0" showErrorMessage="1" allowBlank="1" errorTitle="Inválido" error="Não pode ser negativo." type="decimal" errorStyle="stop" operator="greaterThanOrEqual">
      <formula1>0</formula1>
    </dataValidation>
    <dataValidation sqref="H270" showDropDown="0" showInputMessage="0" showErrorMessage="1" allowBlank="1" errorTitle="Rejeição maior que o apresentado" error="A rejeição não pode ser maior que a quantidade apresentada." type="custom" errorStyle="stop">
      <formula1>AND(H270&gt;=0,H270&lt;=G270)</formula1>
    </dataValidation>
    <dataValidation sqref="A271" showDropDown="0" showInputMessage="0" showErrorMessage="1" allowBlank="1" errorTitle="Número de recebimento inválido" error="Escolha um número de recebimento já lançado na seção 1." type="list">
      <formula1>=$A$7:$A$56</formula1>
    </dataValidation>
    <dataValidation sqref="D271" showDropDown="0" showInputMessage="0" showErrorMessage="1" allowBlank="1" errorTitle="Código não cadastrado" error="Escolha um código de escola da lista." type="list">
      <formula1>='Entrada de Dados'!$A$6:$A$196</formula1>
    </dataValidation>
    <dataValidation sqref="G271" showDropDown="0" showInputMessage="0" showErrorMessage="1" allowBlank="1" errorTitle="Inválido" error="Não pode ser negativo." type="decimal" errorStyle="stop" operator="greaterThanOrEqual">
      <formula1>0</formula1>
    </dataValidation>
    <dataValidation sqref="H271" showDropDown="0" showInputMessage="0" showErrorMessage="1" allowBlank="1" errorTitle="Rejeição maior que o apresentado" error="A rejeição não pode ser maior que a quantidade apresentada." type="custom" errorStyle="stop">
      <formula1>AND(H271&gt;=0,H271&lt;=G271)</formula1>
    </dataValidation>
    <dataValidation sqref="A272" showDropDown="0" showInputMessage="0" showErrorMessage="1" allowBlank="1" errorTitle="Número de recebimento inválido" error="Escolha um número de recebimento já lançado na seção 1." type="list">
      <formula1>=$A$7:$A$56</formula1>
    </dataValidation>
    <dataValidation sqref="D272" showDropDown="0" showInputMessage="0" showErrorMessage="1" allowBlank="1" errorTitle="Código não cadastrado" error="Escolha um código de escola da lista." type="list">
      <formula1>='Entrada de Dados'!$A$6:$A$196</formula1>
    </dataValidation>
    <dataValidation sqref="G272" showDropDown="0" showInputMessage="0" showErrorMessage="1" allowBlank="1" errorTitle="Inválido" error="Não pode ser negativo." type="decimal" errorStyle="stop" operator="greaterThanOrEqual">
      <formula1>0</formula1>
    </dataValidation>
    <dataValidation sqref="H272" showDropDown="0" showInputMessage="0" showErrorMessage="1" allowBlank="1" errorTitle="Rejeição maior que o apresentado" error="A rejeição não pode ser maior que a quantidade apresentada." type="custom" errorStyle="stop">
      <formula1>AND(H272&gt;=0,H272&lt;=G272)</formula1>
    </dataValidation>
    <dataValidation sqref="A273" showDropDown="0" showInputMessage="0" showErrorMessage="1" allowBlank="1" errorTitle="Número de recebimento inválido" error="Escolha um número de recebimento já lançado na seção 1." type="list">
      <formula1>=$A$7:$A$56</formula1>
    </dataValidation>
    <dataValidation sqref="D273" showDropDown="0" showInputMessage="0" showErrorMessage="1" allowBlank="1" errorTitle="Código não cadastrado" error="Escolha um código de escola da lista." type="list">
      <formula1>='Entrada de Dados'!$A$6:$A$196</formula1>
    </dataValidation>
    <dataValidation sqref="G273" showDropDown="0" showInputMessage="0" showErrorMessage="1" allowBlank="1" errorTitle="Inválido" error="Não pode ser negativo." type="decimal" errorStyle="stop" operator="greaterThanOrEqual">
      <formula1>0</formula1>
    </dataValidation>
    <dataValidation sqref="H273" showDropDown="0" showInputMessage="0" showErrorMessage="1" allowBlank="1" errorTitle="Rejeição maior que o apresentado" error="A rejeição não pode ser maior que a quantidade apresentada." type="custom" errorStyle="stop">
      <formula1>AND(H273&gt;=0,H273&lt;=G273)</formula1>
    </dataValidation>
    <dataValidation sqref="A274" showDropDown="0" showInputMessage="0" showErrorMessage="1" allowBlank="1" errorTitle="Número de recebimento inválido" error="Escolha um número de recebimento já lançado na seção 1." type="list">
      <formula1>=$A$7:$A$56</formula1>
    </dataValidation>
    <dataValidation sqref="D274" showDropDown="0" showInputMessage="0" showErrorMessage="1" allowBlank="1" errorTitle="Código não cadastrado" error="Escolha um código de escola da lista." type="list">
      <formula1>='Entrada de Dados'!$A$6:$A$196</formula1>
    </dataValidation>
    <dataValidation sqref="G274" showDropDown="0" showInputMessage="0" showErrorMessage="1" allowBlank="1" errorTitle="Inválido" error="Não pode ser negativo." type="decimal" errorStyle="stop" operator="greaterThanOrEqual">
      <formula1>0</formula1>
    </dataValidation>
    <dataValidation sqref="H274" showDropDown="0" showInputMessage="0" showErrorMessage="1" allowBlank="1" errorTitle="Rejeição maior que o apresentado" error="A rejeição não pode ser maior que a quantidade apresentada." type="custom" errorStyle="stop">
      <formula1>AND(H274&gt;=0,H274&lt;=G274)</formula1>
    </dataValidation>
    <dataValidation sqref="A275" showDropDown="0" showInputMessage="0" showErrorMessage="1" allowBlank="1" errorTitle="Número de recebimento inválido" error="Escolha um número de recebimento já lançado na seção 1." type="list">
      <formula1>=$A$7:$A$56</formula1>
    </dataValidation>
    <dataValidation sqref="D275" showDropDown="0" showInputMessage="0" showErrorMessage="1" allowBlank="1" errorTitle="Código não cadastrado" error="Escolha um código de escola da lista." type="list">
      <formula1>='Entrada de Dados'!$A$6:$A$196</formula1>
    </dataValidation>
    <dataValidation sqref="G275" showDropDown="0" showInputMessage="0" showErrorMessage="1" allowBlank="1" errorTitle="Inválido" error="Não pode ser negativo." type="decimal" errorStyle="stop" operator="greaterThanOrEqual">
      <formula1>0</formula1>
    </dataValidation>
    <dataValidation sqref="H275" showDropDown="0" showInputMessage="0" showErrorMessage="1" allowBlank="1" errorTitle="Rejeição maior que o apresentado" error="A rejeição não pode ser maior que a quantidade apresentada." type="custom" errorStyle="stop">
      <formula1>AND(H275&gt;=0,H275&lt;=G275)</formula1>
    </dataValidation>
    <dataValidation sqref="A276" showDropDown="0" showInputMessage="0" showErrorMessage="1" allowBlank="1" errorTitle="Número de recebimento inválido" error="Escolha um número de recebimento já lançado na seção 1." type="list">
      <formula1>=$A$7:$A$56</formula1>
    </dataValidation>
    <dataValidation sqref="D276" showDropDown="0" showInputMessage="0" showErrorMessage="1" allowBlank="1" errorTitle="Código não cadastrado" error="Escolha um código de escola da lista." type="list">
      <formula1>='Entrada de Dados'!$A$6:$A$196</formula1>
    </dataValidation>
    <dataValidation sqref="G276" showDropDown="0" showInputMessage="0" showErrorMessage="1" allowBlank="1" errorTitle="Inválido" error="Não pode ser negativo." type="decimal" errorStyle="stop" operator="greaterThanOrEqual">
      <formula1>0</formula1>
    </dataValidation>
    <dataValidation sqref="H276" showDropDown="0" showInputMessage="0" showErrorMessage="1" allowBlank="1" errorTitle="Rejeição maior que o apresentado" error="A rejeição não pode ser maior que a quantidade apresentada." type="custom" errorStyle="stop">
      <formula1>AND(H276&gt;=0,H276&lt;=G276)</formula1>
    </dataValidation>
    <dataValidation sqref="A277" showDropDown="0" showInputMessage="0" showErrorMessage="1" allowBlank="1" errorTitle="Número de recebimento inválido" error="Escolha um número de recebimento já lançado na seção 1." type="list">
      <formula1>=$A$7:$A$56</formula1>
    </dataValidation>
    <dataValidation sqref="D277" showDropDown="0" showInputMessage="0" showErrorMessage="1" allowBlank="1" errorTitle="Código não cadastrado" error="Escolha um código de escola da lista." type="list">
      <formula1>='Entrada de Dados'!$A$6:$A$196</formula1>
    </dataValidation>
    <dataValidation sqref="G277" showDropDown="0" showInputMessage="0" showErrorMessage="1" allowBlank="1" errorTitle="Inválido" error="Não pode ser negativo." type="decimal" errorStyle="stop" operator="greaterThanOrEqual">
      <formula1>0</formula1>
    </dataValidation>
    <dataValidation sqref="H277" showDropDown="0" showInputMessage="0" showErrorMessage="1" allowBlank="1" errorTitle="Rejeição maior que o apresentado" error="A rejeição não pode ser maior que a quantidade apresentada." type="custom" errorStyle="stop">
      <formula1>AND(H277&gt;=0,H277&lt;=G277)</formula1>
    </dataValidation>
    <dataValidation sqref="A278" showDropDown="0" showInputMessage="0" showErrorMessage="1" allowBlank="1" errorTitle="Número de recebimento inválido" error="Escolha um número de recebimento já lançado na seção 1." type="list">
      <formula1>=$A$7:$A$56</formula1>
    </dataValidation>
    <dataValidation sqref="D278" showDropDown="0" showInputMessage="0" showErrorMessage="1" allowBlank="1" errorTitle="Código não cadastrado" error="Escolha um código de escola da lista." type="list">
      <formula1>='Entrada de Dados'!$A$6:$A$196</formula1>
    </dataValidation>
    <dataValidation sqref="G278" showDropDown="0" showInputMessage="0" showErrorMessage="1" allowBlank="1" errorTitle="Inválido" error="Não pode ser negativo." type="decimal" errorStyle="stop" operator="greaterThanOrEqual">
      <formula1>0</formula1>
    </dataValidation>
    <dataValidation sqref="H278" showDropDown="0" showInputMessage="0" showErrorMessage="1" allowBlank="1" errorTitle="Rejeição maior que o apresentado" error="A rejeição não pode ser maior que a quantidade apresentada." type="custom" errorStyle="stop">
      <formula1>AND(H278&gt;=0,H278&lt;=G278)</formula1>
    </dataValidation>
    <dataValidation sqref="A279" showDropDown="0" showInputMessage="0" showErrorMessage="1" allowBlank="1" errorTitle="Número de recebimento inválido" error="Escolha um número de recebimento já lançado na seção 1." type="list">
      <formula1>=$A$7:$A$56</formula1>
    </dataValidation>
    <dataValidation sqref="D279" showDropDown="0" showInputMessage="0" showErrorMessage="1" allowBlank="1" errorTitle="Código não cadastrado" error="Escolha um código de escola da lista." type="list">
      <formula1>='Entrada de Dados'!$A$6:$A$196</formula1>
    </dataValidation>
    <dataValidation sqref="G279" showDropDown="0" showInputMessage="0" showErrorMessage="1" allowBlank="1" errorTitle="Inválido" error="Não pode ser negativo." type="decimal" errorStyle="stop" operator="greaterThanOrEqual">
      <formula1>0</formula1>
    </dataValidation>
    <dataValidation sqref="H279" showDropDown="0" showInputMessage="0" showErrorMessage="1" allowBlank="1" errorTitle="Rejeição maior que o apresentado" error="A rejeição não pode ser maior que a quantidade apresentada." type="custom" errorStyle="stop">
      <formula1>AND(H279&gt;=0,H279&lt;=G279)</formula1>
    </dataValidation>
    <dataValidation sqref="A280" showDropDown="0" showInputMessage="0" showErrorMessage="1" allowBlank="1" errorTitle="Número de recebimento inválido" error="Escolha um número de recebimento já lançado na seção 1." type="list">
      <formula1>=$A$7:$A$56</formula1>
    </dataValidation>
    <dataValidation sqref="D280" showDropDown="0" showInputMessage="0" showErrorMessage="1" allowBlank="1" errorTitle="Código não cadastrado" error="Escolha um código de escola da lista." type="list">
      <formula1>='Entrada de Dados'!$A$6:$A$196</formula1>
    </dataValidation>
    <dataValidation sqref="G280" showDropDown="0" showInputMessage="0" showErrorMessage="1" allowBlank="1" errorTitle="Inválido" error="Não pode ser negativo." type="decimal" errorStyle="stop" operator="greaterThanOrEqual">
      <formula1>0</formula1>
    </dataValidation>
    <dataValidation sqref="H280" showDropDown="0" showInputMessage="0" showErrorMessage="1" allowBlank="1" errorTitle="Rejeição maior que o apresentado" error="A rejeição não pode ser maior que a quantidade apresentada." type="custom" errorStyle="stop">
      <formula1>AND(H280&gt;=0,H280&lt;=G280)</formula1>
    </dataValidation>
    <dataValidation sqref="A281" showDropDown="0" showInputMessage="0" showErrorMessage="1" allowBlank="1" errorTitle="Número de recebimento inválido" error="Escolha um número de recebimento já lançado na seção 1." type="list">
      <formula1>=$A$7:$A$56</formula1>
    </dataValidation>
    <dataValidation sqref="D281" showDropDown="0" showInputMessage="0" showErrorMessage="1" allowBlank="1" errorTitle="Código não cadastrado" error="Escolha um código de escola da lista." type="list">
      <formula1>='Entrada de Dados'!$A$6:$A$196</formula1>
    </dataValidation>
    <dataValidation sqref="G281" showDropDown="0" showInputMessage="0" showErrorMessage="1" allowBlank="1" errorTitle="Inválido" error="Não pode ser negativo." type="decimal" errorStyle="stop" operator="greaterThanOrEqual">
      <formula1>0</formula1>
    </dataValidation>
    <dataValidation sqref="H281" showDropDown="0" showInputMessage="0" showErrorMessage="1" allowBlank="1" errorTitle="Rejeição maior que o apresentado" error="A rejeição não pode ser maior que a quantidade apresentada." type="custom" errorStyle="stop">
      <formula1>AND(H281&gt;=0,H281&lt;=G281)</formula1>
    </dataValidation>
    <dataValidation sqref="A282" showDropDown="0" showInputMessage="0" showErrorMessage="1" allowBlank="1" errorTitle="Número de recebimento inválido" error="Escolha um número de recebimento já lançado na seção 1." type="list">
      <formula1>=$A$7:$A$56</formula1>
    </dataValidation>
    <dataValidation sqref="D282" showDropDown="0" showInputMessage="0" showErrorMessage="1" allowBlank="1" errorTitle="Código não cadastrado" error="Escolha um código de escola da lista." type="list">
      <formula1>='Entrada de Dados'!$A$6:$A$196</formula1>
    </dataValidation>
    <dataValidation sqref="G282" showDropDown="0" showInputMessage="0" showErrorMessage="1" allowBlank="1" errorTitle="Inválido" error="Não pode ser negativo." type="decimal" errorStyle="stop" operator="greaterThanOrEqual">
      <formula1>0</formula1>
    </dataValidation>
    <dataValidation sqref="H282" showDropDown="0" showInputMessage="0" showErrorMessage="1" allowBlank="1" errorTitle="Rejeição maior que o apresentado" error="A rejeição não pode ser maior que a quantidade apresentada." type="custom" errorStyle="stop">
      <formula1>AND(H282&gt;=0,H282&lt;=G282)</formula1>
    </dataValidation>
    <dataValidation sqref="A283" showDropDown="0" showInputMessage="0" showErrorMessage="1" allowBlank="1" errorTitle="Número de recebimento inválido" error="Escolha um número de recebimento já lançado na seção 1." type="list">
      <formula1>=$A$7:$A$56</formula1>
    </dataValidation>
    <dataValidation sqref="D283" showDropDown="0" showInputMessage="0" showErrorMessage="1" allowBlank="1" errorTitle="Código não cadastrado" error="Escolha um código de escola da lista." type="list">
      <formula1>='Entrada de Dados'!$A$6:$A$196</formula1>
    </dataValidation>
    <dataValidation sqref="G283" showDropDown="0" showInputMessage="0" showErrorMessage="1" allowBlank="1" errorTitle="Inválido" error="Não pode ser negativo." type="decimal" errorStyle="stop" operator="greaterThanOrEqual">
      <formula1>0</formula1>
    </dataValidation>
    <dataValidation sqref="H283" showDropDown="0" showInputMessage="0" showErrorMessage="1" allowBlank="1" errorTitle="Rejeição maior que o apresentado" error="A rejeição não pode ser maior que a quantidade apresentada." type="custom" errorStyle="stop">
      <formula1>AND(H283&gt;=0,H283&lt;=G283)</formula1>
    </dataValidation>
    <dataValidation sqref="A284" showDropDown="0" showInputMessage="0" showErrorMessage="1" allowBlank="1" errorTitle="Número de recebimento inválido" error="Escolha um número de recebimento já lançado na seção 1." type="list">
      <formula1>=$A$7:$A$56</formula1>
    </dataValidation>
    <dataValidation sqref="D284" showDropDown="0" showInputMessage="0" showErrorMessage="1" allowBlank="1" errorTitle="Código não cadastrado" error="Escolha um código de escola da lista." type="list">
      <formula1>='Entrada de Dados'!$A$6:$A$196</formula1>
    </dataValidation>
    <dataValidation sqref="G284" showDropDown="0" showInputMessage="0" showErrorMessage="1" allowBlank="1" errorTitle="Inválido" error="Não pode ser negativo." type="decimal" errorStyle="stop" operator="greaterThanOrEqual">
      <formula1>0</formula1>
    </dataValidation>
    <dataValidation sqref="H284" showDropDown="0" showInputMessage="0" showErrorMessage="1" allowBlank="1" errorTitle="Rejeição maior que o apresentado" error="A rejeição não pode ser maior que a quantidade apresentada." type="custom" errorStyle="stop">
      <formula1>AND(H284&gt;=0,H284&lt;=G284)</formula1>
    </dataValidation>
    <dataValidation sqref="A285" showDropDown="0" showInputMessage="0" showErrorMessage="1" allowBlank="1" errorTitle="Número de recebimento inválido" error="Escolha um número de recebimento já lançado na seção 1." type="list">
      <formula1>=$A$7:$A$56</formula1>
    </dataValidation>
    <dataValidation sqref="D285" showDropDown="0" showInputMessage="0" showErrorMessage="1" allowBlank="1" errorTitle="Código não cadastrado" error="Escolha um código de escola da lista." type="list">
      <formula1>='Entrada de Dados'!$A$6:$A$196</formula1>
    </dataValidation>
    <dataValidation sqref="G285" showDropDown="0" showInputMessage="0" showErrorMessage="1" allowBlank="1" errorTitle="Inválido" error="Não pode ser negativo." type="decimal" errorStyle="stop" operator="greaterThanOrEqual">
      <formula1>0</formula1>
    </dataValidation>
    <dataValidation sqref="H285" showDropDown="0" showInputMessage="0" showErrorMessage="1" allowBlank="1" errorTitle="Rejeição maior que o apresentado" error="A rejeição não pode ser maior que a quantidade apresentada." type="custom" errorStyle="stop">
      <formula1>AND(H285&gt;=0,H285&lt;=G285)</formula1>
    </dataValidation>
    <dataValidation sqref="A286" showDropDown="0" showInputMessage="0" showErrorMessage="1" allowBlank="1" errorTitle="Número de recebimento inválido" error="Escolha um número de recebimento já lançado na seção 1." type="list">
      <formula1>=$A$7:$A$56</formula1>
    </dataValidation>
    <dataValidation sqref="D286" showDropDown="0" showInputMessage="0" showErrorMessage="1" allowBlank="1" errorTitle="Código não cadastrado" error="Escolha um código de escola da lista." type="list">
      <formula1>='Entrada de Dados'!$A$6:$A$196</formula1>
    </dataValidation>
    <dataValidation sqref="G286" showDropDown="0" showInputMessage="0" showErrorMessage="1" allowBlank="1" errorTitle="Inválido" error="Não pode ser negativo." type="decimal" errorStyle="stop" operator="greaterThanOrEqual">
      <formula1>0</formula1>
    </dataValidation>
    <dataValidation sqref="H286" showDropDown="0" showInputMessage="0" showErrorMessage="1" allowBlank="1" errorTitle="Rejeição maior que o apresentado" error="A rejeição não pode ser maior que a quantidade apresentada." type="custom" errorStyle="stop">
      <formula1>AND(H286&gt;=0,H286&lt;=G286)</formula1>
    </dataValidation>
    <dataValidation sqref="A287" showDropDown="0" showInputMessage="0" showErrorMessage="1" allowBlank="1" errorTitle="Número de recebimento inválido" error="Escolha um número de recebimento já lançado na seção 1." type="list">
      <formula1>=$A$7:$A$56</formula1>
    </dataValidation>
    <dataValidation sqref="D287" showDropDown="0" showInputMessage="0" showErrorMessage="1" allowBlank="1" errorTitle="Código não cadastrado" error="Escolha um código de escola da lista." type="list">
      <formula1>='Entrada de Dados'!$A$6:$A$196</formula1>
    </dataValidation>
    <dataValidation sqref="G287" showDropDown="0" showInputMessage="0" showErrorMessage="1" allowBlank="1" errorTitle="Inválido" error="Não pode ser negativo." type="decimal" errorStyle="stop" operator="greaterThanOrEqual">
      <formula1>0</formula1>
    </dataValidation>
    <dataValidation sqref="H287" showDropDown="0" showInputMessage="0" showErrorMessage="1" allowBlank="1" errorTitle="Rejeição maior que o apresentado" error="A rejeição não pode ser maior que a quantidade apresentada." type="custom" errorStyle="stop">
      <formula1>AND(H287&gt;=0,H287&lt;=G287)</formula1>
    </dataValidation>
    <dataValidation sqref="A288" showDropDown="0" showInputMessage="0" showErrorMessage="1" allowBlank="1" errorTitle="Número de recebimento inválido" error="Escolha um número de recebimento já lançado na seção 1." type="list">
      <formula1>=$A$7:$A$56</formula1>
    </dataValidation>
    <dataValidation sqref="D288" showDropDown="0" showInputMessage="0" showErrorMessage="1" allowBlank="1" errorTitle="Código não cadastrado" error="Escolha um código de escola da lista." type="list">
      <formula1>='Entrada de Dados'!$A$6:$A$196</formula1>
    </dataValidation>
    <dataValidation sqref="G288" showDropDown="0" showInputMessage="0" showErrorMessage="1" allowBlank="1" errorTitle="Inválido" error="Não pode ser negativo." type="decimal" errorStyle="stop" operator="greaterThanOrEqual">
      <formula1>0</formula1>
    </dataValidation>
    <dataValidation sqref="H288" showDropDown="0" showInputMessage="0" showErrorMessage="1" allowBlank="1" errorTitle="Rejeição maior que o apresentado" error="A rejeição não pode ser maior que a quantidade apresentada." type="custom" errorStyle="stop">
      <formula1>AND(H288&gt;=0,H288&lt;=G288)</formula1>
    </dataValidation>
    <dataValidation sqref="A289" showDropDown="0" showInputMessage="0" showErrorMessage="1" allowBlank="1" errorTitle="Número de recebimento inválido" error="Escolha um número de recebimento já lançado na seção 1." type="list">
      <formula1>=$A$7:$A$56</formula1>
    </dataValidation>
    <dataValidation sqref="D289" showDropDown="0" showInputMessage="0" showErrorMessage="1" allowBlank="1" errorTitle="Código não cadastrado" error="Escolha um código de escola da lista." type="list">
      <formula1>='Entrada de Dados'!$A$6:$A$196</formula1>
    </dataValidation>
    <dataValidation sqref="G289" showDropDown="0" showInputMessage="0" showErrorMessage="1" allowBlank="1" errorTitle="Inválido" error="Não pode ser negativo." type="decimal" errorStyle="stop" operator="greaterThanOrEqual">
      <formula1>0</formula1>
    </dataValidation>
    <dataValidation sqref="H289" showDropDown="0" showInputMessage="0" showErrorMessage="1" allowBlank="1" errorTitle="Rejeição maior que o apresentado" error="A rejeição não pode ser maior que a quantidade apresentada." type="custom" errorStyle="stop">
      <formula1>AND(H289&gt;=0,H289&lt;=G289)</formula1>
    </dataValidation>
    <dataValidation sqref="A290" showDropDown="0" showInputMessage="0" showErrorMessage="1" allowBlank="1" errorTitle="Número de recebimento inválido" error="Escolha um número de recebimento já lançado na seção 1." type="list">
      <formula1>=$A$7:$A$56</formula1>
    </dataValidation>
    <dataValidation sqref="D290" showDropDown="0" showInputMessage="0" showErrorMessage="1" allowBlank="1" errorTitle="Código não cadastrado" error="Escolha um código de escola da lista." type="list">
      <formula1>='Entrada de Dados'!$A$6:$A$196</formula1>
    </dataValidation>
    <dataValidation sqref="G290" showDropDown="0" showInputMessage="0" showErrorMessage="1" allowBlank="1" errorTitle="Inválido" error="Não pode ser negativo." type="decimal" errorStyle="stop" operator="greaterThanOrEqual">
      <formula1>0</formula1>
    </dataValidation>
    <dataValidation sqref="H290" showDropDown="0" showInputMessage="0" showErrorMessage="1" allowBlank="1" errorTitle="Rejeição maior que o apresentado" error="A rejeição não pode ser maior que a quantidade apresentada." type="custom" errorStyle="stop">
      <formula1>AND(H290&gt;=0,H290&lt;=G290)</formula1>
    </dataValidation>
    <dataValidation sqref="A291" showDropDown="0" showInputMessage="0" showErrorMessage="1" allowBlank="1" errorTitle="Número de recebimento inválido" error="Escolha um número de recebimento já lançado na seção 1." type="list">
      <formula1>=$A$7:$A$56</formula1>
    </dataValidation>
    <dataValidation sqref="D291" showDropDown="0" showInputMessage="0" showErrorMessage="1" allowBlank="1" errorTitle="Código não cadastrado" error="Escolha um código de escola da lista." type="list">
      <formula1>='Entrada de Dados'!$A$6:$A$196</formula1>
    </dataValidation>
    <dataValidation sqref="G291" showDropDown="0" showInputMessage="0" showErrorMessage="1" allowBlank="1" errorTitle="Inválido" error="Não pode ser negativo." type="decimal" errorStyle="stop" operator="greaterThanOrEqual">
      <formula1>0</formula1>
    </dataValidation>
    <dataValidation sqref="H291" showDropDown="0" showInputMessage="0" showErrorMessage="1" allowBlank="1" errorTitle="Rejeição maior que o apresentado" error="A rejeição não pode ser maior que a quantidade apresentada." type="custom" errorStyle="stop">
      <formula1>AND(H291&gt;=0,H291&lt;=G291)</formula1>
    </dataValidation>
    <dataValidation sqref="A292" showDropDown="0" showInputMessage="0" showErrorMessage="1" allowBlank="1" errorTitle="Número de recebimento inválido" error="Escolha um número de recebimento já lançado na seção 1." type="list">
      <formula1>=$A$7:$A$56</formula1>
    </dataValidation>
    <dataValidation sqref="D292" showDropDown="0" showInputMessage="0" showErrorMessage="1" allowBlank="1" errorTitle="Código não cadastrado" error="Escolha um código de escola da lista." type="list">
      <formula1>='Entrada de Dados'!$A$6:$A$196</formula1>
    </dataValidation>
    <dataValidation sqref="G292" showDropDown="0" showInputMessage="0" showErrorMessage="1" allowBlank="1" errorTitle="Inválido" error="Não pode ser negativo." type="decimal" errorStyle="stop" operator="greaterThanOrEqual">
      <formula1>0</formula1>
    </dataValidation>
    <dataValidation sqref="H292" showDropDown="0" showInputMessage="0" showErrorMessage="1" allowBlank="1" errorTitle="Rejeição maior que o apresentado" error="A rejeição não pode ser maior que a quantidade apresentada." type="custom" errorStyle="stop">
      <formula1>AND(H292&gt;=0,H292&lt;=G292)</formula1>
    </dataValidation>
    <dataValidation sqref="A293" showDropDown="0" showInputMessage="0" showErrorMessage="1" allowBlank="1" errorTitle="Número de recebimento inválido" error="Escolha um número de recebimento já lançado na seção 1." type="list">
      <formula1>=$A$7:$A$56</formula1>
    </dataValidation>
    <dataValidation sqref="D293" showDropDown="0" showInputMessage="0" showErrorMessage="1" allowBlank="1" errorTitle="Código não cadastrado" error="Escolha um código de escola da lista." type="list">
      <formula1>='Entrada de Dados'!$A$6:$A$196</formula1>
    </dataValidation>
    <dataValidation sqref="G293" showDropDown="0" showInputMessage="0" showErrorMessage="1" allowBlank="1" errorTitle="Inválido" error="Não pode ser negativo." type="decimal" errorStyle="stop" operator="greaterThanOrEqual">
      <formula1>0</formula1>
    </dataValidation>
    <dataValidation sqref="H293" showDropDown="0" showInputMessage="0" showErrorMessage="1" allowBlank="1" errorTitle="Rejeição maior que o apresentado" error="A rejeição não pode ser maior que a quantidade apresentada." type="custom" errorStyle="stop">
      <formula1>AND(H293&gt;=0,H293&lt;=G293)</formula1>
    </dataValidation>
    <dataValidation sqref="A294" showDropDown="0" showInputMessage="0" showErrorMessage="1" allowBlank="1" errorTitle="Número de recebimento inválido" error="Escolha um número de recebimento já lançado na seção 1." type="list">
      <formula1>=$A$7:$A$56</formula1>
    </dataValidation>
    <dataValidation sqref="D294" showDropDown="0" showInputMessage="0" showErrorMessage="1" allowBlank="1" errorTitle="Código não cadastrado" error="Escolha um código de escola da lista." type="list">
      <formula1>='Entrada de Dados'!$A$6:$A$196</formula1>
    </dataValidation>
    <dataValidation sqref="G294" showDropDown="0" showInputMessage="0" showErrorMessage="1" allowBlank="1" errorTitle="Inválido" error="Não pode ser negativo." type="decimal" errorStyle="stop" operator="greaterThanOrEqual">
      <formula1>0</formula1>
    </dataValidation>
    <dataValidation sqref="H294" showDropDown="0" showInputMessage="0" showErrorMessage="1" allowBlank="1" errorTitle="Rejeição maior que o apresentado" error="A rejeição não pode ser maior que a quantidade apresentada." type="custom" errorStyle="stop">
      <formula1>AND(H294&gt;=0,H294&lt;=G294)</formula1>
    </dataValidation>
    <dataValidation sqref="A295" showDropDown="0" showInputMessage="0" showErrorMessage="1" allowBlank="1" errorTitle="Número de recebimento inválido" error="Escolha um número de recebimento já lançado na seção 1." type="list">
      <formula1>=$A$7:$A$56</formula1>
    </dataValidation>
    <dataValidation sqref="D295" showDropDown="0" showInputMessage="0" showErrorMessage="1" allowBlank="1" errorTitle="Código não cadastrado" error="Escolha um código de escola da lista." type="list">
      <formula1>='Entrada de Dados'!$A$6:$A$196</formula1>
    </dataValidation>
    <dataValidation sqref="G295" showDropDown="0" showInputMessage="0" showErrorMessage="1" allowBlank="1" errorTitle="Inválido" error="Não pode ser negativo." type="decimal" errorStyle="stop" operator="greaterThanOrEqual">
      <formula1>0</formula1>
    </dataValidation>
    <dataValidation sqref="H295" showDropDown="0" showInputMessage="0" showErrorMessage="1" allowBlank="1" errorTitle="Rejeição maior que o apresentado" error="A rejeição não pode ser maior que a quantidade apresentada." type="custom" errorStyle="stop">
      <formula1>AND(H295&gt;=0,H295&lt;=G295)</formula1>
    </dataValidation>
    <dataValidation sqref="A296" showDropDown="0" showInputMessage="0" showErrorMessage="1" allowBlank="1" errorTitle="Número de recebimento inválido" error="Escolha um número de recebimento já lançado na seção 1." type="list">
      <formula1>=$A$7:$A$56</formula1>
    </dataValidation>
    <dataValidation sqref="D296" showDropDown="0" showInputMessage="0" showErrorMessage="1" allowBlank="1" errorTitle="Código não cadastrado" error="Escolha um código de escola da lista." type="list">
      <formula1>='Entrada de Dados'!$A$6:$A$196</formula1>
    </dataValidation>
    <dataValidation sqref="G296" showDropDown="0" showInputMessage="0" showErrorMessage="1" allowBlank="1" errorTitle="Inválido" error="Não pode ser negativo." type="decimal" errorStyle="stop" operator="greaterThanOrEqual">
      <formula1>0</formula1>
    </dataValidation>
    <dataValidation sqref="H296" showDropDown="0" showInputMessage="0" showErrorMessage="1" allowBlank="1" errorTitle="Rejeição maior que o apresentado" error="A rejeição não pode ser maior que a quantidade apresentada." type="custom" errorStyle="stop">
      <formula1>AND(H296&gt;=0,H296&lt;=G296)</formula1>
    </dataValidation>
    <dataValidation sqref="A297" showDropDown="0" showInputMessage="0" showErrorMessage="1" allowBlank="1" errorTitle="Número de recebimento inválido" error="Escolha um número de recebimento já lançado na seção 1." type="list">
      <formula1>=$A$7:$A$56</formula1>
    </dataValidation>
    <dataValidation sqref="D297" showDropDown="0" showInputMessage="0" showErrorMessage="1" allowBlank="1" errorTitle="Código não cadastrado" error="Escolha um código de escola da lista." type="list">
      <formula1>='Entrada de Dados'!$A$6:$A$196</formula1>
    </dataValidation>
    <dataValidation sqref="G297" showDropDown="0" showInputMessage="0" showErrorMessage="1" allowBlank="1" errorTitle="Inválido" error="Não pode ser negativo." type="decimal" errorStyle="stop" operator="greaterThanOrEqual">
      <formula1>0</formula1>
    </dataValidation>
    <dataValidation sqref="H297" showDropDown="0" showInputMessage="0" showErrorMessage="1" allowBlank="1" errorTitle="Rejeição maior que o apresentado" error="A rejeição não pode ser maior que a quantidade apresentada." type="custom" errorStyle="stop">
      <formula1>AND(H297&gt;=0,H297&lt;=G297)</formula1>
    </dataValidation>
    <dataValidation sqref="A298" showDropDown="0" showInputMessage="0" showErrorMessage="1" allowBlank="1" errorTitle="Número de recebimento inválido" error="Escolha um número de recebimento já lançado na seção 1." type="list">
      <formula1>=$A$7:$A$56</formula1>
    </dataValidation>
    <dataValidation sqref="D298" showDropDown="0" showInputMessage="0" showErrorMessage="1" allowBlank="1" errorTitle="Código não cadastrado" error="Escolha um código de escola da lista." type="list">
      <formula1>='Entrada de Dados'!$A$6:$A$196</formula1>
    </dataValidation>
    <dataValidation sqref="G298" showDropDown="0" showInputMessage="0" showErrorMessage="1" allowBlank="1" errorTitle="Inválido" error="Não pode ser negativo." type="decimal" errorStyle="stop" operator="greaterThanOrEqual">
      <formula1>0</formula1>
    </dataValidation>
    <dataValidation sqref="H298" showDropDown="0" showInputMessage="0" showErrorMessage="1" allowBlank="1" errorTitle="Rejeição maior que o apresentado" error="A rejeição não pode ser maior que a quantidade apresentada." type="custom" errorStyle="stop">
      <formula1>AND(H298&gt;=0,H298&lt;=G298)</formula1>
    </dataValidation>
    <dataValidation sqref="A299" showDropDown="0" showInputMessage="0" showErrorMessage="1" allowBlank="1" errorTitle="Número de recebimento inválido" error="Escolha um número de recebimento já lançado na seção 1." type="list">
      <formula1>=$A$7:$A$56</formula1>
    </dataValidation>
    <dataValidation sqref="D299" showDropDown="0" showInputMessage="0" showErrorMessage="1" allowBlank="1" errorTitle="Código não cadastrado" error="Escolha um código de escola da lista." type="list">
      <formula1>='Entrada de Dados'!$A$6:$A$196</formula1>
    </dataValidation>
    <dataValidation sqref="G299" showDropDown="0" showInputMessage="0" showErrorMessage="1" allowBlank="1" errorTitle="Inválido" error="Não pode ser negativo." type="decimal" errorStyle="stop" operator="greaterThanOrEqual">
      <formula1>0</formula1>
    </dataValidation>
    <dataValidation sqref="H299" showDropDown="0" showInputMessage="0" showErrorMessage="1" allowBlank="1" errorTitle="Rejeição maior que o apresentado" error="A rejeição não pode ser maior que a quantidade apresentada." type="custom" errorStyle="stop">
      <formula1>AND(H299&gt;=0,H299&lt;=G299)</formula1>
    </dataValidation>
    <dataValidation sqref="A300" showDropDown="0" showInputMessage="0" showErrorMessage="1" allowBlank="1" errorTitle="Número de recebimento inválido" error="Escolha um número de recebimento já lançado na seção 1." type="list">
      <formula1>=$A$7:$A$56</formula1>
    </dataValidation>
    <dataValidation sqref="D300" showDropDown="0" showInputMessage="0" showErrorMessage="1" allowBlank="1" errorTitle="Código não cadastrado" error="Escolha um código de escola da lista." type="list">
      <formula1>='Entrada de Dados'!$A$6:$A$196</formula1>
    </dataValidation>
    <dataValidation sqref="G300" showDropDown="0" showInputMessage="0" showErrorMessage="1" allowBlank="1" errorTitle="Inválido" error="Não pode ser negativo." type="decimal" errorStyle="stop" operator="greaterThanOrEqual">
      <formula1>0</formula1>
    </dataValidation>
    <dataValidation sqref="H300" showDropDown="0" showInputMessage="0" showErrorMessage="1" allowBlank="1" errorTitle="Rejeição maior que o apresentado" error="A rejeição não pode ser maior que a quantidade apresentada." type="custom" errorStyle="stop">
      <formula1>AND(H300&gt;=0,H300&lt;=G300)</formula1>
    </dataValidation>
    <dataValidation sqref="A301" showDropDown="0" showInputMessage="0" showErrorMessage="1" allowBlank="1" errorTitle="Número de recebimento inválido" error="Escolha um número de recebimento já lançado na seção 1." type="list">
      <formula1>=$A$7:$A$56</formula1>
    </dataValidation>
    <dataValidation sqref="D301" showDropDown="0" showInputMessage="0" showErrorMessage="1" allowBlank="1" errorTitle="Código não cadastrado" error="Escolha um código de escola da lista." type="list">
      <formula1>='Entrada de Dados'!$A$6:$A$196</formula1>
    </dataValidation>
    <dataValidation sqref="G301" showDropDown="0" showInputMessage="0" showErrorMessage="1" allowBlank="1" errorTitle="Inválido" error="Não pode ser negativo." type="decimal" errorStyle="stop" operator="greaterThanOrEqual">
      <formula1>0</formula1>
    </dataValidation>
    <dataValidation sqref="H301" showDropDown="0" showInputMessage="0" showErrorMessage="1" allowBlank="1" errorTitle="Rejeição maior que o apresentado" error="A rejeição não pode ser maior que a quantidade apresentada." type="custom" errorStyle="stop">
      <formula1>AND(H301&gt;=0,H301&lt;=G301)</formula1>
    </dataValidation>
    <dataValidation sqref="A302" showDropDown="0" showInputMessage="0" showErrorMessage="1" allowBlank="1" errorTitle="Número de recebimento inválido" error="Escolha um número de recebimento já lançado na seção 1." type="list">
      <formula1>=$A$7:$A$56</formula1>
    </dataValidation>
    <dataValidation sqref="D302" showDropDown="0" showInputMessage="0" showErrorMessage="1" allowBlank="1" errorTitle="Código não cadastrado" error="Escolha um código de escola da lista." type="list">
      <formula1>='Entrada de Dados'!$A$6:$A$196</formula1>
    </dataValidation>
    <dataValidation sqref="G302" showDropDown="0" showInputMessage="0" showErrorMessage="1" allowBlank="1" errorTitle="Inválido" error="Não pode ser negativo." type="decimal" errorStyle="stop" operator="greaterThanOrEqual">
      <formula1>0</formula1>
    </dataValidation>
    <dataValidation sqref="H302" showDropDown="0" showInputMessage="0" showErrorMessage="1" allowBlank="1" errorTitle="Rejeição maior que o apresentado" error="A rejeição não pode ser maior que a quantidade apresentada." type="custom" errorStyle="stop">
      <formula1>AND(H302&gt;=0,H302&lt;=G302)</formula1>
    </dataValidation>
    <dataValidation sqref="A303" showDropDown="0" showInputMessage="0" showErrorMessage="1" allowBlank="1" errorTitle="Número de recebimento inválido" error="Escolha um número de recebimento já lançado na seção 1." type="list">
      <formula1>=$A$7:$A$56</formula1>
    </dataValidation>
    <dataValidation sqref="D303" showDropDown="0" showInputMessage="0" showErrorMessage="1" allowBlank="1" errorTitle="Código não cadastrado" error="Escolha um código de escola da lista." type="list">
      <formula1>='Entrada de Dados'!$A$6:$A$196</formula1>
    </dataValidation>
    <dataValidation sqref="G303" showDropDown="0" showInputMessage="0" showErrorMessage="1" allowBlank="1" errorTitle="Inválido" error="Não pode ser negativo." type="decimal" errorStyle="stop" operator="greaterThanOrEqual">
      <formula1>0</formula1>
    </dataValidation>
    <dataValidation sqref="H303" showDropDown="0" showInputMessage="0" showErrorMessage="1" allowBlank="1" errorTitle="Rejeição maior que o apresentado" error="A rejeição não pode ser maior que a quantidade apresentada." type="custom" errorStyle="stop">
      <formula1>AND(H303&gt;=0,H303&lt;=G303)</formula1>
    </dataValidation>
    <dataValidation sqref="A304" showDropDown="0" showInputMessage="0" showErrorMessage="1" allowBlank="1" errorTitle="Número de recebimento inválido" error="Escolha um número de recebimento já lançado na seção 1." type="list">
      <formula1>=$A$7:$A$56</formula1>
    </dataValidation>
    <dataValidation sqref="D304" showDropDown="0" showInputMessage="0" showErrorMessage="1" allowBlank="1" errorTitle="Código não cadastrado" error="Escolha um código de escola da lista." type="list">
      <formula1>='Entrada de Dados'!$A$6:$A$196</formula1>
    </dataValidation>
    <dataValidation sqref="G304" showDropDown="0" showInputMessage="0" showErrorMessage="1" allowBlank="1" errorTitle="Inválido" error="Não pode ser negativo." type="decimal" errorStyle="stop" operator="greaterThanOrEqual">
      <formula1>0</formula1>
    </dataValidation>
    <dataValidation sqref="H304" showDropDown="0" showInputMessage="0" showErrorMessage="1" allowBlank="1" errorTitle="Rejeição maior que o apresentado" error="A rejeição não pode ser maior que a quantidade apresentada." type="custom" errorStyle="stop">
      <formula1>AND(H304&gt;=0,H304&lt;=G304)</formula1>
    </dataValidation>
    <dataValidation sqref="A305" showDropDown="0" showInputMessage="0" showErrorMessage="1" allowBlank="1" errorTitle="Número de recebimento inválido" error="Escolha um número de recebimento já lançado na seção 1." type="list">
      <formula1>=$A$7:$A$56</formula1>
    </dataValidation>
    <dataValidation sqref="D305" showDropDown="0" showInputMessage="0" showErrorMessage="1" allowBlank="1" errorTitle="Código não cadastrado" error="Escolha um código de escola da lista." type="list">
      <formula1>='Entrada de Dados'!$A$6:$A$196</formula1>
    </dataValidation>
    <dataValidation sqref="G305" showDropDown="0" showInputMessage="0" showErrorMessage="1" allowBlank="1" errorTitle="Inválido" error="Não pode ser negativo." type="decimal" errorStyle="stop" operator="greaterThanOrEqual">
      <formula1>0</formula1>
    </dataValidation>
    <dataValidation sqref="H305" showDropDown="0" showInputMessage="0" showErrorMessage="1" allowBlank="1" errorTitle="Rejeição maior que o apresentado" error="A rejeição não pode ser maior que a quantidade apresentada." type="custom" errorStyle="stop">
      <formula1>AND(H305&gt;=0,H305&lt;=G305)</formula1>
    </dataValidation>
    <dataValidation sqref="A306" showDropDown="0" showInputMessage="0" showErrorMessage="1" allowBlank="1" errorTitle="Número de recebimento inválido" error="Escolha um número de recebimento já lançado na seção 1." type="list">
      <formula1>=$A$7:$A$56</formula1>
    </dataValidation>
    <dataValidation sqref="D306" showDropDown="0" showInputMessage="0" showErrorMessage="1" allowBlank="1" errorTitle="Código não cadastrado" error="Escolha um código de escola da lista." type="list">
      <formula1>='Entrada de Dados'!$A$6:$A$196</formula1>
    </dataValidation>
    <dataValidation sqref="G306" showDropDown="0" showInputMessage="0" showErrorMessage="1" allowBlank="1" errorTitle="Inválido" error="Não pode ser negativo." type="decimal" errorStyle="stop" operator="greaterThanOrEqual">
      <formula1>0</formula1>
    </dataValidation>
    <dataValidation sqref="H306" showDropDown="0" showInputMessage="0" showErrorMessage="1" allowBlank="1" errorTitle="Rejeição maior que o apresentado" error="A rejeição não pode ser maior que a quantidade apresentada." type="custom" errorStyle="stop">
      <formula1>AND(H306&gt;=0,H306&lt;=G306)</formula1>
    </dataValidation>
    <dataValidation sqref="A307" showDropDown="0" showInputMessage="0" showErrorMessage="1" allowBlank="1" errorTitle="Número de recebimento inválido" error="Escolha um número de recebimento já lançado na seção 1." type="list">
      <formula1>=$A$7:$A$56</formula1>
    </dataValidation>
    <dataValidation sqref="D307" showDropDown="0" showInputMessage="0" showErrorMessage="1" allowBlank="1" errorTitle="Código não cadastrado" error="Escolha um código de escola da lista." type="list">
      <formula1>='Entrada de Dados'!$A$6:$A$196</formula1>
    </dataValidation>
    <dataValidation sqref="G307" showDropDown="0" showInputMessage="0" showErrorMessage="1" allowBlank="1" errorTitle="Inválido" error="Não pode ser negativo." type="decimal" errorStyle="stop" operator="greaterThanOrEqual">
      <formula1>0</formula1>
    </dataValidation>
    <dataValidation sqref="H307" showDropDown="0" showInputMessage="0" showErrorMessage="1" allowBlank="1" errorTitle="Rejeição maior que o apresentado" error="A rejeição não pode ser maior que a quantidade apresentada." type="custom" errorStyle="stop">
      <formula1>AND(H307&gt;=0,H307&lt;=G307)</formula1>
    </dataValidation>
    <dataValidation sqref="A308" showDropDown="0" showInputMessage="0" showErrorMessage="1" allowBlank="1" errorTitle="Número de recebimento inválido" error="Escolha um número de recebimento já lançado na seção 1." type="list">
      <formula1>=$A$7:$A$56</formula1>
    </dataValidation>
    <dataValidation sqref="D308" showDropDown="0" showInputMessage="0" showErrorMessage="1" allowBlank="1" errorTitle="Código não cadastrado" error="Escolha um código de escola da lista." type="list">
      <formula1>='Entrada de Dados'!$A$6:$A$196</formula1>
    </dataValidation>
    <dataValidation sqref="G308" showDropDown="0" showInputMessage="0" showErrorMessage="1" allowBlank="1" errorTitle="Inválido" error="Não pode ser negativo." type="decimal" errorStyle="stop" operator="greaterThanOrEqual">
      <formula1>0</formula1>
    </dataValidation>
    <dataValidation sqref="H308" showDropDown="0" showInputMessage="0" showErrorMessage="1" allowBlank="1" errorTitle="Rejeição maior que o apresentado" error="A rejeição não pode ser maior que a quantidade apresentada." type="custom" errorStyle="stop">
      <formula1>AND(H308&gt;=0,H308&lt;=G308)</formula1>
    </dataValidation>
    <dataValidation sqref="A309" showDropDown="0" showInputMessage="0" showErrorMessage="1" allowBlank="1" errorTitle="Número de recebimento inválido" error="Escolha um número de recebimento já lançado na seção 1." type="list">
      <formula1>=$A$7:$A$56</formula1>
    </dataValidation>
    <dataValidation sqref="D309" showDropDown="0" showInputMessage="0" showErrorMessage="1" allowBlank="1" errorTitle="Código não cadastrado" error="Escolha um código de escola da lista." type="list">
      <formula1>='Entrada de Dados'!$A$6:$A$196</formula1>
    </dataValidation>
    <dataValidation sqref="G309" showDropDown="0" showInputMessage="0" showErrorMessage="1" allowBlank="1" errorTitle="Inválido" error="Não pode ser negativo." type="decimal" errorStyle="stop" operator="greaterThanOrEqual">
      <formula1>0</formula1>
    </dataValidation>
    <dataValidation sqref="H309" showDropDown="0" showInputMessage="0" showErrorMessage="1" allowBlank="1" errorTitle="Rejeição maior que o apresentado" error="A rejeição não pode ser maior que a quantidade apresentada." type="custom" errorStyle="stop">
      <formula1>AND(H309&gt;=0,H309&lt;=G309)</formula1>
    </dataValidation>
    <dataValidation sqref="A310" showDropDown="0" showInputMessage="0" showErrorMessage="1" allowBlank="1" errorTitle="Número de recebimento inválido" error="Escolha um número de recebimento já lançado na seção 1." type="list">
      <formula1>=$A$7:$A$56</formula1>
    </dataValidation>
    <dataValidation sqref="D310" showDropDown="0" showInputMessage="0" showErrorMessage="1" allowBlank="1" errorTitle="Código não cadastrado" error="Escolha um código de escola da lista." type="list">
      <formula1>='Entrada de Dados'!$A$6:$A$196</formula1>
    </dataValidation>
    <dataValidation sqref="G310" showDropDown="0" showInputMessage="0" showErrorMessage="1" allowBlank="1" errorTitle="Inválido" error="Não pode ser negativo." type="decimal" errorStyle="stop" operator="greaterThanOrEqual">
      <formula1>0</formula1>
    </dataValidation>
    <dataValidation sqref="H310" showDropDown="0" showInputMessage="0" showErrorMessage="1" allowBlank="1" errorTitle="Rejeição maior que o apresentado" error="A rejeição não pode ser maior que a quantidade apresentada." type="custom" errorStyle="stop">
      <formula1>AND(H310&gt;=0,H310&lt;=G310)</formula1>
    </dataValidation>
    <dataValidation sqref="A311" showDropDown="0" showInputMessage="0" showErrorMessage="1" allowBlank="1" errorTitle="Número de recebimento inválido" error="Escolha um número de recebimento já lançado na seção 1." type="list">
      <formula1>=$A$7:$A$56</formula1>
    </dataValidation>
    <dataValidation sqref="D311" showDropDown="0" showInputMessage="0" showErrorMessage="1" allowBlank="1" errorTitle="Código não cadastrado" error="Escolha um código de escola da lista." type="list">
      <formula1>='Entrada de Dados'!$A$6:$A$196</formula1>
    </dataValidation>
    <dataValidation sqref="G311" showDropDown="0" showInputMessage="0" showErrorMessage="1" allowBlank="1" errorTitle="Inválido" error="Não pode ser negativo." type="decimal" errorStyle="stop" operator="greaterThanOrEqual">
      <formula1>0</formula1>
    </dataValidation>
    <dataValidation sqref="H311" showDropDown="0" showInputMessage="0" showErrorMessage="1" allowBlank="1" errorTitle="Rejeição maior que o apresentado" error="A rejeição não pode ser maior que a quantidade apresentada." type="custom" errorStyle="stop">
      <formula1>AND(H311&gt;=0,H311&lt;=G311)</formula1>
    </dataValidation>
    <dataValidation sqref="A312" showDropDown="0" showInputMessage="0" showErrorMessage="1" allowBlank="1" errorTitle="Número de recebimento inválido" error="Escolha um número de recebimento já lançado na seção 1." type="list">
      <formula1>=$A$7:$A$56</formula1>
    </dataValidation>
    <dataValidation sqref="D312" showDropDown="0" showInputMessage="0" showErrorMessage="1" allowBlank="1" errorTitle="Código não cadastrado" error="Escolha um código de escola da lista." type="list">
      <formula1>='Entrada de Dados'!$A$6:$A$196</formula1>
    </dataValidation>
    <dataValidation sqref="G312" showDropDown="0" showInputMessage="0" showErrorMessage="1" allowBlank="1" errorTitle="Inválido" error="Não pode ser negativo." type="decimal" errorStyle="stop" operator="greaterThanOrEqual">
      <formula1>0</formula1>
    </dataValidation>
    <dataValidation sqref="H312" showDropDown="0" showInputMessage="0" showErrorMessage="1" allowBlank="1" errorTitle="Rejeição maior que o apresentado" error="A rejeição não pode ser maior que a quantidade apresentada." type="custom" errorStyle="stop">
      <formula1>AND(H312&gt;=0,H312&lt;=G312)</formula1>
    </dataValidation>
    <dataValidation sqref="A313" showDropDown="0" showInputMessage="0" showErrorMessage="1" allowBlank="1" errorTitle="Número de recebimento inválido" error="Escolha um número de recebimento já lançado na seção 1." type="list">
      <formula1>=$A$7:$A$56</formula1>
    </dataValidation>
    <dataValidation sqref="D313" showDropDown="0" showInputMessage="0" showErrorMessage="1" allowBlank="1" errorTitle="Código não cadastrado" error="Escolha um código de escola da lista." type="list">
      <formula1>='Entrada de Dados'!$A$6:$A$196</formula1>
    </dataValidation>
    <dataValidation sqref="G313" showDropDown="0" showInputMessage="0" showErrorMessage="1" allowBlank="1" errorTitle="Inválido" error="Não pode ser negativo." type="decimal" errorStyle="stop" operator="greaterThanOrEqual">
      <formula1>0</formula1>
    </dataValidation>
    <dataValidation sqref="H313" showDropDown="0" showInputMessage="0" showErrorMessage="1" allowBlank="1" errorTitle="Rejeição maior que o apresentado" error="A rejeição não pode ser maior que a quantidade apresentada." type="custom" errorStyle="stop">
      <formula1>AND(H313&gt;=0,H313&lt;=G313)</formula1>
    </dataValidation>
    <dataValidation sqref="A314" showDropDown="0" showInputMessage="0" showErrorMessage="1" allowBlank="1" errorTitle="Número de recebimento inválido" error="Escolha um número de recebimento já lançado na seção 1." type="list">
      <formula1>=$A$7:$A$56</formula1>
    </dataValidation>
    <dataValidation sqref="D314" showDropDown="0" showInputMessage="0" showErrorMessage="1" allowBlank="1" errorTitle="Código não cadastrado" error="Escolha um código de escola da lista." type="list">
      <formula1>='Entrada de Dados'!$A$6:$A$196</formula1>
    </dataValidation>
    <dataValidation sqref="G314" showDropDown="0" showInputMessage="0" showErrorMessage="1" allowBlank="1" errorTitle="Inválido" error="Não pode ser negativo." type="decimal" errorStyle="stop" operator="greaterThanOrEqual">
      <formula1>0</formula1>
    </dataValidation>
    <dataValidation sqref="H314" showDropDown="0" showInputMessage="0" showErrorMessage="1" allowBlank="1" errorTitle="Rejeição maior que o apresentado" error="A rejeição não pode ser maior que a quantidade apresentada." type="custom" errorStyle="stop">
      <formula1>AND(H314&gt;=0,H314&lt;=G314)</formula1>
    </dataValidation>
    <dataValidation sqref="A315" showDropDown="0" showInputMessage="0" showErrorMessage="1" allowBlank="1" errorTitle="Número de recebimento inválido" error="Escolha um número de recebimento já lançado na seção 1." type="list">
      <formula1>=$A$7:$A$56</formula1>
    </dataValidation>
    <dataValidation sqref="D315" showDropDown="0" showInputMessage="0" showErrorMessage="1" allowBlank="1" errorTitle="Código não cadastrado" error="Escolha um código de escola da lista." type="list">
      <formula1>='Entrada de Dados'!$A$6:$A$196</formula1>
    </dataValidation>
    <dataValidation sqref="G315" showDropDown="0" showInputMessage="0" showErrorMessage="1" allowBlank="1" errorTitle="Inválido" error="Não pode ser negativo." type="decimal" errorStyle="stop" operator="greaterThanOrEqual">
      <formula1>0</formula1>
    </dataValidation>
    <dataValidation sqref="H315" showDropDown="0" showInputMessage="0" showErrorMessage="1" allowBlank="1" errorTitle="Rejeição maior que o apresentado" error="A rejeição não pode ser maior que a quantidade apresentada." type="custom" errorStyle="stop">
      <formula1>AND(H315&gt;=0,H315&lt;=G315)</formula1>
    </dataValidation>
    <dataValidation sqref="A316" showDropDown="0" showInputMessage="0" showErrorMessage="1" allowBlank="1" errorTitle="Número de recebimento inválido" error="Escolha um número de recebimento já lançado na seção 1." type="list">
      <formula1>=$A$7:$A$56</formula1>
    </dataValidation>
    <dataValidation sqref="D316" showDropDown="0" showInputMessage="0" showErrorMessage="1" allowBlank="1" errorTitle="Código não cadastrado" error="Escolha um código de escola da lista." type="list">
      <formula1>='Entrada de Dados'!$A$6:$A$196</formula1>
    </dataValidation>
    <dataValidation sqref="G316" showDropDown="0" showInputMessage="0" showErrorMessage="1" allowBlank="1" errorTitle="Inválido" error="Não pode ser negativo." type="decimal" errorStyle="stop" operator="greaterThanOrEqual">
      <formula1>0</formula1>
    </dataValidation>
    <dataValidation sqref="H316" showDropDown="0" showInputMessage="0" showErrorMessage="1" allowBlank="1" errorTitle="Rejeição maior que o apresentado" error="A rejeição não pode ser maior que a quantidade apresentada." type="custom" errorStyle="stop">
      <formula1>AND(H316&gt;=0,H316&lt;=G316)</formula1>
    </dataValidation>
    <dataValidation sqref="A317" showDropDown="0" showInputMessage="0" showErrorMessage="1" allowBlank="1" errorTitle="Número de recebimento inválido" error="Escolha um número de recebimento já lançado na seção 1." type="list">
      <formula1>=$A$7:$A$56</formula1>
    </dataValidation>
    <dataValidation sqref="D317" showDropDown="0" showInputMessage="0" showErrorMessage="1" allowBlank="1" errorTitle="Código não cadastrado" error="Escolha um código de escola da lista." type="list">
      <formula1>='Entrada de Dados'!$A$6:$A$196</formula1>
    </dataValidation>
    <dataValidation sqref="G317" showDropDown="0" showInputMessage="0" showErrorMessage="1" allowBlank="1" errorTitle="Inválido" error="Não pode ser negativo." type="decimal" errorStyle="stop" operator="greaterThanOrEqual">
      <formula1>0</formula1>
    </dataValidation>
    <dataValidation sqref="H317" showDropDown="0" showInputMessage="0" showErrorMessage="1" allowBlank="1" errorTitle="Rejeição maior que o apresentado" error="A rejeição não pode ser maior que a quantidade apresentada." type="custom" errorStyle="stop">
      <formula1>AND(H317&gt;=0,H317&lt;=G317)</formula1>
    </dataValidation>
    <dataValidation sqref="A318" showDropDown="0" showInputMessage="0" showErrorMessage="1" allowBlank="1" errorTitle="Número de recebimento inválido" error="Escolha um número de recebimento já lançado na seção 1." type="list">
      <formula1>=$A$7:$A$56</formula1>
    </dataValidation>
    <dataValidation sqref="D318" showDropDown="0" showInputMessage="0" showErrorMessage="1" allowBlank="1" errorTitle="Código não cadastrado" error="Escolha um código de escola da lista." type="list">
      <formula1>='Entrada de Dados'!$A$6:$A$196</formula1>
    </dataValidation>
    <dataValidation sqref="G318" showDropDown="0" showInputMessage="0" showErrorMessage="1" allowBlank="1" errorTitle="Inválido" error="Não pode ser negativo." type="decimal" errorStyle="stop" operator="greaterThanOrEqual">
      <formula1>0</formula1>
    </dataValidation>
    <dataValidation sqref="H318" showDropDown="0" showInputMessage="0" showErrorMessage="1" allowBlank="1" errorTitle="Rejeição maior que o apresentado" error="A rejeição não pode ser maior que a quantidade apresentada." type="custom" errorStyle="stop">
      <formula1>AND(H318&gt;=0,H318&lt;=G318)</formula1>
    </dataValidation>
    <dataValidation sqref="A319" showDropDown="0" showInputMessage="0" showErrorMessage="1" allowBlank="1" errorTitle="Número de recebimento inválido" error="Escolha um número de recebimento já lançado na seção 1." type="list">
      <formula1>=$A$7:$A$56</formula1>
    </dataValidation>
    <dataValidation sqref="D319" showDropDown="0" showInputMessage="0" showErrorMessage="1" allowBlank="1" errorTitle="Código não cadastrado" error="Escolha um código de escola da lista." type="list">
      <formula1>='Entrada de Dados'!$A$6:$A$196</formula1>
    </dataValidation>
    <dataValidation sqref="G319" showDropDown="0" showInputMessage="0" showErrorMessage="1" allowBlank="1" errorTitle="Inválido" error="Não pode ser negativo." type="decimal" errorStyle="stop" operator="greaterThanOrEqual">
      <formula1>0</formula1>
    </dataValidation>
    <dataValidation sqref="H319" showDropDown="0" showInputMessage="0" showErrorMessage="1" allowBlank="1" errorTitle="Rejeição maior que o apresentado" error="A rejeição não pode ser maior que a quantidade apresentada." type="custom" errorStyle="stop">
      <formula1>AND(H319&gt;=0,H319&lt;=G319)</formula1>
    </dataValidation>
    <dataValidation sqref="A320" showDropDown="0" showInputMessage="0" showErrorMessage="1" allowBlank="1" errorTitle="Número de recebimento inválido" error="Escolha um número de recebimento já lançado na seção 1." type="list">
      <formula1>=$A$7:$A$56</formula1>
    </dataValidation>
    <dataValidation sqref="D320" showDropDown="0" showInputMessage="0" showErrorMessage="1" allowBlank="1" errorTitle="Código não cadastrado" error="Escolha um código de escola da lista." type="list">
      <formula1>='Entrada de Dados'!$A$6:$A$196</formula1>
    </dataValidation>
    <dataValidation sqref="G320" showDropDown="0" showInputMessage="0" showErrorMessage="1" allowBlank="1" errorTitle="Inválido" error="Não pode ser negativo." type="decimal" errorStyle="stop" operator="greaterThanOrEqual">
      <formula1>0</formula1>
    </dataValidation>
    <dataValidation sqref="H320" showDropDown="0" showInputMessage="0" showErrorMessage="1" allowBlank="1" errorTitle="Rejeição maior que o apresentado" error="A rejeição não pode ser maior que a quantidade apresentada." type="custom" errorStyle="stop">
      <formula1>AND(H320&gt;=0,H320&lt;=G320)</formula1>
    </dataValidation>
    <dataValidation sqref="A321" showDropDown="0" showInputMessage="0" showErrorMessage="1" allowBlank="1" errorTitle="Número de recebimento inválido" error="Escolha um número de recebimento já lançado na seção 1." type="list">
      <formula1>=$A$7:$A$56</formula1>
    </dataValidation>
    <dataValidation sqref="D321" showDropDown="0" showInputMessage="0" showErrorMessage="1" allowBlank="1" errorTitle="Código não cadastrado" error="Escolha um código de escola da lista." type="list">
      <formula1>='Entrada de Dados'!$A$6:$A$196</formula1>
    </dataValidation>
    <dataValidation sqref="G321" showDropDown="0" showInputMessage="0" showErrorMessage="1" allowBlank="1" errorTitle="Inválido" error="Não pode ser negativo." type="decimal" errorStyle="stop" operator="greaterThanOrEqual">
      <formula1>0</formula1>
    </dataValidation>
    <dataValidation sqref="H321" showDropDown="0" showInputMessage="0" showErrorMessage="1" allowBlank="1" errorTitle="Rejeição maior que o apresentado" error="A rejeição não pode ser maior que a quantidade apresentada." type="custom" errorStyle="stop">
      <formula1>AND(H321&gt;=0,H321&lt;=G321)</formula1>
    </dataValidation>
    <dataValidation sqref="A322" showDropDown="0" showInputMessage="0" showErrorMessage="1" allowBlank="1" errorTitle="Número de recebimento inválido" error="Escolha um número de recebimento já lançado na seção 1." type="list">
      <formula1>=$A$7:$A$56</formula1>
    </dataValidation>
    <dataValidation sqref="D322" showDropDown="0" showInputMessage="0" showErrorMessage="1" allowBlank="1" errorTitle="Código não cadastrado" error="Escolha um código de escola da lista." type="list">
      <formula1>='Entrada de Dados'!$A$6:$A$196</formula1>
    </dataValidation>
    <dataValidation sqref="G322" showDropDown="0" showInputMessage="0" showErrorMessage="1" allowBlank="1" errorTitle="Inválido" error="Não pode ser negativo." type="decimal" errorStyle="stop" operator="greaterThanOrEqual">
      <formula1>0</formula1>
    </dataValidation>
    <dataValidation sqref="H322" showDropDown="0" showInputMessage="0" showErrorMessage="1" allowBlank="1" errorTitle="Rejeição maior que o apresentado" error="A rejeição não pode ser maior que a quantidade apresentada." type="custom" errorStyle="stop">
      <formula1>AND(H322&gt;=0,H322&lt;=G322)</formula1>
    </dataValidation>
    <dataValidation sqref="A323" showDropDown="0" showInputMessage="0" showErrorMessage="1" allowBlank="1" errorTitle="Número de recebimento inválido" error="Escolha um número de recebimento já lançado na seção 1." type="list">
      <formula1>=$A$7:$A$56</formula1>
    </dataValidation>
    <dataValidation sqref="D323" showDropDown="0" showInputMessage="0" showErrorMessage="1" allowBlank="1" errorTitle="Código não cadastrado" error="Escolha um código de escola da lista." type="list">
      <formula1>='Entrada de Dados'!$A$6:$A$196</formula1>
    </dataValidation>
    <dataValidation sqref="G323" showDropDown="0" showInputMessage="0" showErrorMessage="1" allowBlank="1" errorTitle="Inválido" error="Não pode ser negativo." type="decimal" errorStyle="stop" operator="greaterThanOrEqual">
      <formula1>0</formula1>
    </dataValidation>
    <dataValidation sqref="H323" showDropDown="0" showInputMessage="0" showErrorMessage="1" allowBlank="1" errorTitle="Rejeição maior que o apresentado" error="A rejeição não pode ser maior que a quantidade apresentada." type="custom" errorStyle="stop">
      <formula1>AND(H323&gt;=0,H323&lt;=G323)</formula1>
    </dataValidation>
    <dataValidation sqref="A324" showDropDown="0" showInputMessage="0" showErrorMessage="1" allowBlank="1" errorTitle="Número de recebimento inválido" error="Escolha um número de recebimento já lançado na seção 1." type="list">
      <formula1>=$A$7:$A$56</formula1>
    </dataValidation>
    <dataValidation sqref="D324" showDropDown="0" showInputMessage="0" showErrorMessage="1" allowBlank="1" errorTitle="Código não cadastrado" error="Escolha um código de escola da lista." type="list">
      <formula1>='Entrada de Dados'!$A$6:$A$196</formula1>
    </dataValidation>
    <dataValidation sqref="G324" showDropDown="0" showInputMessage="0" showErrorMessage="1" allowBlank="1" errorTitle="Inválido" error="Não pode ser negativo." type="decimal" errorStyle="stop" operator="greaterThanOrEqual">
      <formula1>0</formula1>
    </dataValidation>
    <dataValidation sqref="H324" showDropDown="0" showInputMessage="0" showErrorMessage="1" allowBlank="1" errorTitle="Rejeição maior que o apresentado" error="A rejeição não pode ser maior que a quantidade apresentada." type="custom" errorStyle="stop">
      <formula1>AND(H324&gt;=0,H324&lt;=G324)</formula1>
    </dataValidation>
    <dataValidation sqref="A325" showDropDown="0" showInputMessage="0" showErrorMessage="1" allowBlank="1" errorTitle="Número de recebimento inválido" error="Escolha um número de recebimento já lançado na seção 1." type="list">
      <formula1>=$A$7:$A$56</formula1>
    </dataValidation>
    <dataValidation sqref="D325" showDropDown="0" showInputMessage="0" showErrorMessage="1" allowBlank="1" errorTitle="Código não cadastrado" error="Escolha um código de escola da lista." type="list">
      <formula1>='Entrada de Dados'!$A$6:$A$196</formula1>
    </dataValidation>
    <dataValidation sqref="G325" showDropDown="0" showInputMessage="0" showErrorMessage="1" allowBlank="1" errorTitle="Inválido" error="Não pode ser negativo." type="decimal" errorStyle="stop" operator="greaterThanOrEqual">
      <formula1>0</formula1>
    </dataValidation>
    <dataValidation sqref="H325" showDropDown="0" showInputMessage="0" showErrorMessage="1" allowBlank="1" errorTitle="Rejeição maior que o apresentado" error="A rejeição não pode ser maior que a quantidade apresentada." type="custom" errorStyle="stop">
      <formula1>AND(H325&gt;=0,H325&lt;=G325)</formula1>
    </dataValidation>
    <dataValidation sqref="A326" showDropDown="0" showInputMessage="0" showErrorMessage="1" allowBlank="1" errorTitle="Número de recebimento inválido" error="Escolha um número de recebimento já lançado na seção 1." type="list">
      <formula1>=$A$7:$A$56</formula1>
    </dataValidation>
    <dataValidation sqref="D326" showDropDown="0" showInputMessage="0" showErrorMessage="1" allowBlank="1" errorTitle="Código não cadastrado" error="Escolha um código de escola da lista." type="list">
      <formula1>='Entrada de Dados'!$A$6:$A$196</formula1>
    </dataValidation>
    <dataValidation sqref="G326" showDropDown="0" showInputMessage="0" showErrorMessage="1" allowBlank="1" errorTitle="Inválido" error="Não pode ser negativo." type="decimal" errorStyle="stop" operator="greaterThanOrEqual">
      <formula1>0</formula1>
    </dataValidation>
    <dataValidation sqref="H326" showDropDown="0" showInputMessage="0" showErrorMessage="1" allowBlank="1" errorTitle="Rejeição maior que o apresentado" error="A rejeição não pode ser maior que a quantidade apresentada." type="custom" errorStyle="stop">
      <formula1>AND(H326&gt;=0,H326&lt;=G326)</formula1>
    </dataValidation>
    <dataValidation sqref="A327" showDropDown="0" showInputMessage="0" showErrorMessage="1" allowBlank="1" errorTitle="Número de recebimento inválido" error="Escolha um número de recebimento já lançado na seção 1." type="list">
      <formula1>=$A$7:$A$56</formula1>
    </dataValidation>
    <dataValidation sqref="D327" showDropDown="0" showInputMessage="0" showErrorMessage="1" allowBlank="1" errorTitle="Código não cadastrado" error="Escolha um código de escola da lista." type="list">
      <formula1>='Entrada de Dados'!$A$6:$A$196</formula1>
    </dataValidation>
    <dataValidation sqref="G327" showDropDown="0" showInputMessage="0" showErrorMessage="1" allowBlank="1" errorTitle="Inválido" error="Não pode ser negativo." type="decimal" errorStyle="stop" operator="greaterThanOrEqual">
      <formula1>0</formula1>
    </dataValidation>
    <dataValidation sqref="H327" showDropDown="0" showInputMessage="0" showErrorMessage="1" allowBlank="1" errorTitle="Rejeição maior que o apresentado" error="A rejeição não pode ser maior que a quantidade apresentada." type="custom" errorStyle="stop">
      <formula1>AND(H327&gt;=0,H327&lt;=G327)</formula1>
    </dataValidation>
    <dataValidation sqref="A328" showDropDown="0" showInputMessage="0" showErrorMessage="1" allowBlank="1" errorTitle="Número de recebimento inválido" error="Escolha um número de recebimento já lançado na seção 1." type="list">
      <formula1>=$A$7:$A$56</formula1>
    </dataValidation>
    <dataValidation sqref="D328" showDropDown="0" showInputMessage="0" showErrorMessage="1" allowBlank="1" errorTitle="Código não cadastrado" error="Escolha um código de escola da lista." type="list">
      <formula1>='Entrada de Dados'!$A$6:$A$196</formula1>
    </dataValidation>
    <dataValidation sqref="G328" showDropDown="0" showInputMessage="0" showErrorMessage="1" allowBlank="1" errorTitle="Inválido" error="Não pode ser negativo." type="decimal" errorStyle="stop" operator="greaterThanOrEqual">
      <formula1>0</formula1>
    </dataValidation>
    <dataValidation sqref="H328" showDropDown="0" showInputMessage="0" showErrorMessage="1" allowBlank="1" errorTitle="Rejeição maior que o apresentado" error="A rejeição não pode ser maior que a quantidade apresentada." type="custom" errorStyle="stop">
      <formula1>AND(H328&gt;=0,H328&lt;=G328)</formula1>
    </dataValidation>
    <dataValidation sqref="A329" showDropDown="0" showInputMessage="0" showErrorMessage="1" allowBlank="1" errorTitle="Número de recebimento inválido" error="Escolha um número de recebimento já lançado na seção 1." type="list">
      <formula1>=$A$7:$A$56</formula1>
    </dataValidation>
    <dataValidation sqref="D329" showDropDown="0" showInputMessage="0" showErrorMessage="1" allowBlank="1" errorTitle="Código não cadastrado" error="Escolha um código de escola da lista." type="list">
      <formula1>='Entrada de Dados'!$A$6:$A$196</formula1>
    </dataValidation>
    <dataValidation sqref="G329" showDropDown="0" showInputMessage="0" showErrorMessage="1" allowBlank="1" errorTitle="Inválido" error="Não pode ser negativo." type="decimal" errorStyle="stop" operator="greaterThanOrEqual">
      <formula1>0</formula1>
    </dataValidation>
    <dataValidation sqref="H329" showDropDown="0" showInputMessage="0" showErrorMessage="1" allowBlank="1" errorTitle="Rejeição maior que o apresentado" error="A rejeição não pode ser maior que a quantidade apresentada." type="custom" errorStyle="stop">
      <formula1>AND(H329&gt;=0,H329&lt;=G329)</formula1>
    </dataValidation>
    <dataValidation sqref="A330" showDropDown="0" showInputMessage="0" showErrorMessage="1" allowBlank="1" errorTitle="Número de recebimento inválido" error="Escolha um número de recebimento já lançado na seção 1." type="list">
      <formula1>=$A$7:$A$56</formula1>
    </dataValidation>
    <dataValidation sqref="D330" showDropDown="0" showInputMessage="0" showErrorMessage="1" allowBlank="1" errorTitle="Código não cadastrado" error="Escolha um código de escola da lista." type="list">
      <formula1>='Entrada de Dados'!$A$6:$A$196</formula1>
    </dataValidation>
    <dataValidation sqref="G330" showDropDown="0" showInputMessage="0" showErrorMessage="1" allowBlank="1" errorTitle="Inválido" error="Não pode ser negativo." type="decimal" errorStyle="stop" operator="greaterThanOrEqual">
      <formula1>0</formula1>
    </dataValidation>
    <dataValidation sqref="H330" showDropDown="0" showInputMessage="0" showErrorMessage="1" allowBlank="1" errorTitle="Rejeição maior que o apresentado" error="A rejeição não pode ser maior que a quantidade apresentada." type="custom" errorStyle="stop">
      <formula1>AND(H330&gt;=0,H330&lt;=G330)</formula1>
    </dataValidation>
    <dataValidation sqref="A331" showDropDown="0" showInputMessage="0" showErrorMessage="1" allowBlank="1" errorTitle="Número de recebimento inválido" error="Escolha um número de recebimento já lançado na seção 1." type="list">
      <formula1>=$A$7:$A$56</formula1>
    </dataValidation>
    <dataValidation sqref="D331" showDropDown="0" showInputMessage="0" showErrorMessage="1" allowBlank="1" errorTitle="Código não cadastrado" error="Escolha um código de escola da lista." type="list">
      <formula1>='Entrada de Dados'!$A$6:$A$196</formula1>
    </dataValidation>
    <dataValidation sqref="G331" showDropDown="0" showInputMessage="0" showErrorMessage="1" allowBlank="1" errorTitle="Inválido" error="Não pode ser negativo." type="decimal" errorStyle="stop" operator="greaterThanOrEqual">
      <formula1>0</formula1>
    </dataValidation>
    <dataValidation sqref="H331" showDropDown="0" showInputMessage="0" showErrorMessage="1" allowBlank="1" errorTitle="Rejeição maior que o apresentado" error="A rejeição não pode ser maior que a quantidade apresentada." type="custom" errorStyle="stop">
      <formula1>AND(H331&gt;=0,H331&lt;=G331)</formula1>
    </dataValidation>
    <dataValidation sqref="A332" showDropDown="0" showInputMessage="0" showErrorMessage="1" allowBlank="1" errorTitle="Número de recebimento inválido" error="Escolha um número de recebimento já lançado na seção 1." type="list">
      <formula1>=$A$7:$A$56</formula1>
    </dataValidation>
    <dataValidation sqref="D332" showDropDown="0" showInputMessage="0" showErrorMessage="1" allowBlank="1" errorTitle="Código não cadastrado" error="Escolha um código de escola da lista." type="list">
      <formula1>='Entrada de Dados'!$A$6:$A$196</formula1>
    </dataValidation>
    <dataValidation sqref="G332" showDropDown="0" showInputMessage="0" showErrorMessage="1" allowBlank="1" errorTitle="Inválido" error="Não pode ser negativo." type="decimal" errorStyle="stop" operator="greaterThanOrEqual">
      <formula1>0</formula1>
    </dataValidation>
    <dataValidation sqref="H332" showDropDown="0" showInputMessage="0" showErrorMessage="1" allowBlank="1" errorTitle="Rejeição maior que o apresentado" error="A rejeição não pode ser maior que a quantidade apresentada." type="custom" errorStyle="stop">
      <formula1>AND(H332&gt;=0,H332&lt;=G332)</formula1>
    </dataValidation>
    <dataValidation sqref="A333" showDropDown="0" showInputMessage="0" showErrorMessage="1" allowBlank="1" errorTitle="Número de recebimento inválido" error="Escolha um número de recebimento já lançado na seção 1." type="list">
      <formula1>=$A$7:$A$56</formula1>
    </dataValidation>
    <dataValidation sqref="D333" showDropDown="0" showInputMessage="0" showErrorMessage="1" allowBlank="1" errorTitle="Código não cadastrado" error="Escolha um código de escola da lista." type="list">
      <formula1>='Entrada de Dados'!$A$6:$A$196</formula1>
    </dataValidation>
    <dataValidation sqref="G333" showDropDown="0" showInputMessage="0" showErrorMessage="1" allowBlank="1" errorTitle="Inválido" error="Não pode ser negativo." type="decimal" errorStyle="stop" operator="greaterThanOrEqual">
      <formula1>0</formula1>
    </dataValidation>
    <dataValidation sqref="H333" showDropDown="0" showInputMessage="0" showErrorMessage="1" allowBlank="1" errorTitle="Rejeição maior que o apresentado" error="A rejeição não pode ser maior que a quantidade apresentada." type="custom" errorStyle="stop">
      <formula1>AND(H333&gt;=0,H333&lt;=G333)</formula1>
    </dataValidation>
    <dataValidation sqref="A334" showDropDown="0" showInputMessage="0" showErrorMessage="1" allowBlank="1" errorTitle="Número de recebimento inválido" error="Escolha um número de recebimento já lançado na seção 1." type="list">
      <formula1>=$A$7:$A$56</formula1>
    </dataValidation>
    <dataValidation sqref="D334" showDropDown="0" showInputMessage="0" showErrorMessage="1" allowBlank="1" errorTitle="Código não cadastrado" error="Escolha um código de escola da lista." type="list">
      <formula1>='Entrada de Dados'!$A$6:$A$196</formula1>
    </dataValidation>
    <dataValidation sqref="G334" showDropDown="0" showInputMessage="0" showErrorMessage="1" allowBlank="1" errorTitle="Inválido" error="Não pode ser negativo." type="decimal" errorStyle="stop" operator="greaterThanOrEqual">
      <formula1>0</formula1>
    </dataValidation>
    <dataValidation sqref="H334" showDropDown="0" showInputMessage="0" showErrorMessage="1" allowBlank="1" errorTitle="Rejeição maior que o apresentado" error="A rejeição não pode ser maior que a quantidade apresentada." type="custom" errorStyle="stop">
      <formula1>AND(H334&gt;=0,H334&lt;=G334)</formula1>
    </dataValidation>
    <dataValidation sqref="A335" showDropDown="0" showInputMessage="0" showErrorMessage="1" allowBlank="1" errorTitle="Número de recebimento inválido" error="Escolha um número de recebimento já lançado na seção 1." type="list">
      <formula1>=$A$7:$A$56</formula1>
    </dataValidation>
    <dataValidation sqref="D335" showDropDown="0" showInputMessage="0" showErrorMessage="1" allowBlank="1" errorTitle="Código não cadastrado" error="Escolha um código de escola da lista." type="list">
      <formula1>='Entrada de Dados'!$A$6:$A$196</formula1>
    </dataValidation>
    <dataValidation sqref="G335" showDropDown="0" showInputMessage="0" showErrorMessage="1" allowBlank="1" errorTitle="Inválido" error="Não pode ser negativo." type="decimal" errorStyle="stop" operator="greaterThanOrEqual">
      <formula1>0</formula1>
    </dataValidation>
    <dataValidation sqref="H335" showDropDown="0" showInputMessage="0" showErrorMessage="1" allowBlank="1" errorTitle="Rejeição maior que o apresentado" error="A rejeição não pode ser maior que a quantidade apresentada." type="custom" errorStyle="stop">
      <formula1>AND(H335&gt;=0,H335&lt;=G335)</formula1>
    </dataValidation>
    <dataValidation sqref="A336" showDropDown="0" showInputMessage="0" showErrorMessage="1" allowBlank="1" errorTitle="Número de recebimento inválido" error="Escolha um número de recebimento já lançado na seção 1." type="list">
      <formula1>=$A$7:$A$56</formula1>
    </dataValidation>
    <dataValidation sqref="D336" showDropDown="0" showInputMessage="0" showErrorMessage="1" allowBlank="1" errorTitle="Código não cadastrado" error="Escolha um código de escola da lista." type="list">
      <formula1>='Entrada de Dados'!$A$6:$A$196</formula1>
    </dataValidation>
    <dataValidation sqref="G336" showDropDown="0" showInputMessage="0" showErrorMessage="1" allowBlank="1" errorTitle="Inválido" error="Não pode ser negativo." type="decimal" errorStyle="stop" operator="greaterThanOrEqual">
      <formula1>0</formula1>
    </dataValidation>
    <dataValidation sqref="H336" showDropDown="0" showInputMessage="0" showErrorMessage="1" allowBlank="1" errorTitle="Rejeição maior que o apresentado" error="A rejeição não pode ser maior que a quantidade apresentada." type="custom" errorStyle="stop">
      <formula1>AND(H336&gt;=0,H336&lt;=G336)</formula1>
    </dataValidation>
    <dataValidation sqref="A337" showDropDown="0" showInputMessage="0" showErrorMessage="1" allowBlank="1" errorTitle="Número de recebimento inválido" error="Escolha um número de recebimento já lançado na seção 1." type="list">
      <formula1>=$A$7:$A$56</formula1>
    </dataValidation>
    <dataValidation sqref="D337" showDropDown="0" showInputMessage="0" showErrorMessage="1" allowBlank="1" errorTitle="Código não cadastrado" error="Escolha um código de escola da lista." type="list">
      <formula1>='Entrada de Dados'!$A$6:$A$196</formula1>
    </dataValidation>
    <dataValidation sqref="G337" showDropDown="0" showInputMessage="0" showErrorMessage="1" allowBlank="1" errorTitle="Inválido" error="Não pode ser negativo." type="decimal" errorStyle="stop" operator="greaterThanOrEqual">
      <formula1>0</formula1>
    </dataValidation>
    <dataValidation sqref="H337" showDropDown="0" showInputMessage="0" showErrorMessage="1" allowBlank="1" errorTitle="Rejeição maior que o apresentado" error="A rejeição não pode ser maior que a quantidade apresentada." type="custom" errorStyle="stop">
      <formula1>AND(H337&gt;=0,H337&lt;=G337)</formula1>
    </dataValidation>
    <dataValidation sqref="A338" showDropDown="0" showInputMessage="0" showErrorMessage="1" allowBlank="1" errorTitle="Número de recebimento inválido" error="Escolha um número de recebimento já lançado na seção 1." type="list">
      <formula1>=$A$7:$A$56</formula1>
    </dataValidation>
    <dataValidation sqref="D338" showDropDown="0" showInputMessage="0" showErrorMessage="1" allowBlank="1" errorTitle="Código não cadastrado" error="Escolha um código de escola da lista." type="list">
      <formula1>='Entrada de Dados'!$A$6:$A$196</formula1>
    </dataValidation>
    <dataValidation sqref="G338" showDropDown="0" showInputMessage="0" showErrorMessage="1" allowBlank="1" errorTitle="Inválido" error="Não pode ser negativo." type="decimal" errorStyle="stop" operator="greaterThanOrEqual">
      <formula1>0</formula1>
    </dataValidation>
    <dataValidation sqref="H338" showDropDown="0" showInputMessage="0" showErrorMessage="1" allowBlank="1" errorTitle="Rejeição maior que o apresentado" error="A rejeição não pode ser maior que a quantidade apresentada." type="custom" errorStyle="stop">
      <formula1>AND(H338&gt;=0,H338&lt;=G338)</formula1>
    </dataValidation>
    <dataValidation sqref="A339" showDropDown="0" showInputMessage="0" showErrorMessage="1" allowBlank="1" errorTitle="Número de recebimento inválido" error="Escolha um número de recebimento já lançado na seção 1." type="list">
      <formula1>=$A$7:$A$56</formula1>
    </dataValidation>
    <dataValidation sqref="D339" showDropDown="0" showInputMessage="0" showErrorMessage="1" allowBlank="1" errorTitle="Código não cadastrado" error="Escolha um código de escola da lista." type="list">
      <formula1>='Entrada de Dados'!$A$6:$A$196</formula1>
    </dataValidation>
    <dataValidation sqref="G339" showDropDown="0" showInputMessage="0" showErrorMessage="1" allowBlank="1" errorTitle="Inválido" error="Não pode ser negativo." type="decimal" errorStyle="stop" operator="greaterThanOrEqual">
      <formula1>0</formula1>
    </dataValidation>
    <dataValidation sqref="H339" showDropDown="0" showInputMessage="0" showErrorMessage="1" allowBlank="1" errorTitle="Rejeição maior que o apresentado" error="A rejeição não pode ser maior que a quantidade apresentada." type="custom" errorStyle="stop">
      <formula1>AND(H339&gt;=0,H339&lt;=G339)</formula1>
    </dataValidation>
    <dataValidation sqref="A340" showDropDown="0" showInputMessage="0" showErrorMessage="1" allowBlank="1" errorTitle="Número de recebimento inválido" error="Escolha um número de recebimento já lançado na seção 1." type="list">
      <formula1>=$A$7:$A$56</formula1>
    </dataValidation>
    <dataValidation sqref="D340" showDropDown="0" showInputMessage="0" showErrorMessage="1" allowBlank="1" errorTitle="Código não cadastrado" error="Escolha um código de escola da lista." type="list">
      <formula1>='Entrada de Dados'!$A$6:$A$196</formula1>
    </dataValidation>
    <dataValidation sqref="G340" showDropDown="0" showInputMessage="0" showErrorMessage="1" allowBlank="1" errorTitle="Inválido" error="Não pode ser negativo." type="decimal" errorStyle="stop" operator="greaterThanOrEqual">
      <formula1>0</formula1>
    </dataValidation>
    <dataValidation sqref="H340" showDropDown="0" showInputMessage="0" showErrorMessage="1" allowBlank="1" errorTitle="Rejeição maior que o apresentado" error="A rejeição não pode ser maior que a quantidade apresentada." type="custom" errorStyle="stop">
      <formula1>AND(H340&gt;=0,H340&lt;=G340)</formula1>
    </dataValidation>
    <dataValidation sqref="A341" showDropDown="0" showInputMessage="0" showErrorMessage="1" allowBlank="1" errorTitle="Número de recebimento inválido" error="Escolha um número de recebimento já lançado na seção 1." type="list">
      <formula1>=$A$7:$A$56</formula1>
    </dataValidation>
    <dataValidation sqref="D341" showDropDown="0" showInputMessage="0" showErrorMessage="1" allowBlank="1" errorTitle="Código não cadastrado" error="Escolha um código de escola da lista." type="list">
      <formula1>='Entrada de Dados'!$A$6:$A$196</formula1>
    </dataValidation>
    <dataValidation sqref="G341" showDropDown="0" showInputMessage="0" showErrorMessage="1" allowBlank="1" errorTitle="Inválido" error="Não pode ser negativo." type="decimal" errorStyle="stop" operator="greaterThanOrEqual">
      <formula1>0</formula1>
    </dataValidation>
    <dataValidation sqref="H341" showDropDown="0" showInputMessage="0" showErrorMessage="1" allowBlank="1" errorTitle="Rejeição maior que o apresentado" error="A rejeição não pode ser maior que a quantidade apresentada." type="custom" errorStyle="stop">
      <formula1>AND(H341&gt;=0,H341&lt;=G341)</formula1>
    </dataValidation>
    <dataValidation sqref="A342" showDropDown="0" showInputMessage="0" showErrorMessage="1" allowBlank="1" errorTitle="Número de recebimento inválido" error="Escolha um número de recebimento já lançado na seção 1." type="list">
      <formula1>=$A$7:$A$56</formula1>
    </dataValidation>
    <dataValidation sqref="D342" showDropDown="0" showInputMessage="0" showErrorMessage="1" allowBlank="1" errorTitle="Código não cadastrado" error="Escolha um código de escola da lista." type="list">
      <formula1>='Entrada de Dados'!$A$6:$A$196</formula1>
    </dataValidation>
    <dataValidation sqref="G342" showDropDown="0" showInputMessage="0" showErrorMessage="1" allowBlank="1" errorTitle="Inválido" error="Não pode ser negativo." type="decimal" errorStyle="stop" operator="greaterThanOrEqual">
      <formula1>0</formula1>
    </dataValidation>
    <dataValidation sqref="H342" showDropDown="0" showInputMessage="0" showErrorMessage="1" allowBlank="1" errorTitle="Rejeição maior que o apresentado" error="A rejeição não pode ser maior que a quantidade apresentada." type="custom" errorStyle="stop">
      <formula1>AND(H342&gt;=0,H342&lt;=G342)</formula1>
    </dataValidation>
    <dataValidation sqref="A343" showDropDown="0" showInputMessage="0" showErrorMessage="1" allowBlank="1" errorTitle="Número de recebimento inválido" error="Escolha um número de recebimento já lançado na seção 1." type="list">
      <formula1>=$A$7:$A$56</formula1>
    </dataValidation>
    <dataValidation sqref="D343" showDropDown="0" showInputMessage="0" showErrorMessage="1" allowBlank="1" errorTitle="Código não cadastrado" error="Escolha um código de escola da lista." type="list">
      <formula1>='Entrada de Dados'!$A$6:$A$196</formula1>
    </dataValidation>
    <dataValidation sqref="G343" showDropDown="0" showInputMessage="0" showErrorMessage="1" allowBlank="1" errorTitle="Inválido" error="Não pode ser negativo." type="decimal" errorStyle="stop" operator="greaterThanOrEqual">
      <formula1>0</formula1>
    </dataValidation>
    <dataValidation sqref="H343" showDropDown="0" showInputMessage="0" showErrorMessage="1" allowBlank="1" errorTitle="Rejeição maior que o apresentado" error="A rejeição não pode ser maior que a quantidade apresentada." type="custom" errorStyle="stop">
      <formula1>AND(H343&gt;=0,H343&lt;=G343)</formula1>
    </dataValidation>
    <dataValidation sqref="A344" showDropDown="0" showInputMessage="0" showErrorMessage="1" allowBlank="1" errorTitle="Número de recebimento inválido" error="Escolha um número de recebimento já lançado na seção 1." type="list">
      <formula1>=$A$7:$A$56</formula1>
    </dataValidation>
    <dataValidation sqref="D344" showDropDown="0" showInputMessage="0" showErrorMessage="1" allowBlank="1" errorTitle="Código não cadastrado" error="Escolha um código de escola da lista." type="list">
      <formula1>='Entrada de Dados'!$A$6:$A$196</formula1>
    </dataValidation>
    <dataValidation sqref="G344" showDropDown="0" showInputMessage="0" showErrorMessage="1" allowBlank="1" errorTitle="Inválido" error="Não pode ser negativo." type="decimal" errorStyle="stop" operator="greaterThanOrEqual">
      <formula1>0</formula1>
    </dataValidation>
    <dataValidation sqref="H344" showDropDown="0" showInputMessage="0" showErrorMessage="1" allowBlank="1" errorTitle="Rejeição maior que o apresentado" error="A rejeição não pode ser maior que a quantidade apresentada." type="custom" errorStyle="stop">
      <formula1>AND(H344&gt;=0,H344&lt;=G344)</formula1>
    </dataValidation>
    <dataValidation sqref="A345" showDropDown="0" showInputMessage="0" showErrorMessage="1" allowBlank="1" errorTitle="Número de recebimento inválido" error="Escolha um número de recebimento já lançado na seção 1." type="list">
      <formula1>=$A$7:$A$56</formula1>
    </dataValidation>
    <dataValidation sqref="D345" showDropDown="0" showInputMessage="0" showErrorMessage="1" allowBlank="1" errorTitle="Código não cadastrado" error="Escolha um código de escola da lista." type="list">
      <formula1>='Entrada de Dados'!$A$6:$A$196</formula1>
    </dataValidation>
    <dataValidation sqref="G345" showDropDown="0" showInputMessage="0" showErrorMessage="1" allowBlank="1" errorTitle="Inválido" error="Não pode ser negativo." type="decimal" errorStyle="stop" operator="greaterThanOrEqual">
      <formula1>0</formula1>
    </dataValidation>
    <dataValidation sqref="H345" showDropDown="0" showInputMessage="0" showErrorMessage="1" allowBlank="1" errorTitle="Rejeição maior que o apresentado" error="A rejeição não pode ser maior que a quantidade apresentada." type="custom" errorStyle="stop">
      <formula1>AND(H345&gt;=0,H345&lt;=G345)</formula1>
    </dataValidation>
    <dataValidation sqref="A346" showDropDown="0" showInputMessage="0" showErrorMessage="1" allowBlank="1" errorTitle="Número de recebimento inválido" error="Escolha um número de recebimento já lançado na seção 1." type="list">
      <formula1>=$A$7:$A$56</formula1>
    </dataValidation>
    <dataValidation sqref="D346" showDropDown="0" showInputMessage="0" showErrorMessage="1" allowBlank="1" errorTitle="Código não cadastrado" error="Escolha um código de escola da lista." type="list">
      <formula1>='Entrada de Dados'!$A$6:$A$196</formula1>
    </dataValidation>
    <dataValidation sqref="G346" showDropDown="0" showInputMessage="0" showErrorMessage="1" allowBlank="1" errorTitle="Inválido" error="Não pode ser negativo." type="decimal" errorStyle="stop" operator="greaterThanOrEqual">
      <formula1>0</formula1>
    </dataValidation>
    <dataValidation sqref="H346" showDropDown="0" showInputMessage="0" showErrorMessage="1" allowBlank="1" errorTitle="Rejeição maior que o apresentado" error="A rejeição não pode ser maior que a quantidade apresentada." type="custom" errorStyle="stop">
      <formula1>AND(H346&gt;=0,H346&lt;=G346)</formula1>
    </dataValidation>
    <dataValidation sqref="A347" showDropDown="0" showInputMessage="0" showErrorMessage="1" allowBlank="1" errorTitle="Número de recebimento inválido" error="Escolha um número de recebimento já lançado na seção 1." type="list">
      <formula1>=$A$7:$A$56</formula1>
    </dataValidation>
    <dataValidation sqref="D347" showDropDown="0" showInputMessage="0" showErrorMessage="1" allowBlank="1" errorTitle="Código não cadastrado" error="Escolha um código de escola da lista." type="list">
      <formula1>='Entrada de Dados'!$A$6:$A$196</formula1>
    </dataValidation>
    <dataValidation sqref="G347" showDropDown="0" showInputMessage="0" showErrorMessage="1" allowBlank="1" errorTitle="Inválido" error="Não pode ser negativo." type="decimal" errorStyle="stop" operator="greaterThanOrEqual">
      <formula1>0</formula1>
    </dataValidation>
    <dataValidation sqref="H347" showDropDown="0" showInputMessage="0" showErrorMessage="1" allowBlank="1" errorTitle="Rejeição maior que o apresentado" error="A rejeição não pode ser maior que a quantidade apresentada." type="custom" errorStyle="stop">
      <formula1>AND(H347&gt;=0,H347&lt;=G347)</formula1>
    </dataValidation>
    <dataValidation sqref="A348" showDropDown="0" showInputMessage="0" showErrorMessage="1" allowBlank="1" errorTitle="Número de recebimento inválido" error="Escolha um número de recebimento já lançado na seção 1." type="list">
      <formula1>=$A$7:$A$56</formula1>
    </dataValidation>
    <dataValidation sqref="D348" showDropDown="0" showInputMessage="0" showErrorMessage="1" allowBlank="1" errorTitle="Código não cadastrado" error="Escolha um código de escola da lista." type="list">
      <formula1>='Entrada de Dados'!$A$6:$A$196</formula1>
    </dataValidation>
    <dataValidation sqref="G348" showDropDown="0" showInputMessage="0" showErrorMessage="1" allowBlank="1" errorTitle="Inválido" error="Não pode ser negativo." type="decimal" errorStyle="stop" operator="greaterThanOrEqual">
      <formula1>0</formula1>
    </dataValidation>
    <dataValidation sqref="H348" showDropDown="0" showInputMessage="0" showErrorMessage="1" allowBlank="1" errorTitle="Rejeição maior que o apresentado" error="A rejeição não pode ser maior que a quantidade apresentada." type="custom" errorStyle="stop">
      <formula1>AND(H348&gt;=0,H348&lt;=G348)</formula1>
    </dataValidation>
    <dataValidation sqref="A349" showDropDown="0" showInputMessage="0" showErrorMessage="1" allowBlank="1" errorTitle="Número de recebimento inválido" error="Escolha um número de recebimento já lançado na seção 1." type="list">
      <formula1>=$A$7:$A$56</formula1>
    </dataValidation>
    <dataValidation sqref="D349" showDropDown="0" showInputMessage="0" showErrorMessage="1" allowBlank="1" errorTitle="Código não cadastrado" error="Escolha um código de escola da lista." type="list">
      <formula1>='Entrada de Dados'!$A$6:$A$196</formula1>
    </dataValidation>
    <dataValidation sqref="G349" showDropDown="0" showInputMessage="0" showErrorMessage="1" allowBlank="1" errorTitle="Inválido" error="Não pode ser negativo." type="decimal" errorStyle="stop" operator="greaterThanOrEqual">
      <formula1>0</formula1>
    </dataValidation>
    <dataValidation sqref="H349" showDropDown="0" showInputMessage="0" showErrorMessage="1" allowBlank="1" errorTitle="Rejeição maior que o apresentado" error="A rejeição não pode ser maior que a quantidade apresentada." type="custom" errorStyle="stop">
      <formula1>AND(H349&gt;=0,H349&lt;=G349)</formula1>
    </dataValidation>
    <dataValidation sqref="A350" showDropDown="0" showInputMessage="0" showErrorMessage="1" allowBlank="1" errorTitle="Número de recebimento inválido" error="Escolha um número de recebimento já lançado na seção 1." type="list">
      <formula1>=$A$7:$A$56</formula1>
    </dataValidation>
    <dataValidation sqref="D350" showDropDown="0" showInputMessage="0" showErrorMessage="1" allowBlank="1" errorTitle="Código não cadastrado" error="Escolha um código de escola da lista." type="list">
      <formula1>='Entrada de Dados'!$A$6:$A$196</formula1>
    </dataValidation>
    <dataValidation sqref="G350" showDropDown="0" showInputMessage="0" showErrorMessage="1" allowBlank="1" errorTitle="Inválido" error="Não pode ser negativo." type="decimal" errorStyle="stop" operator="greaterThanOrEqual">
      <formula1>0</formula1>
    </dataValidation>
    <dataValidation sqref="H350" showDropDown="0" showInputMessage="0" showErrorMessage="1" allowBlank="1" errorTitle="Rejeição maior que o apresentado" error="A rejeição não pode ser maior que a quantidade apresentada." type="custom" errorStyle="stop">
      <formula1>AND(H350&gt;=0,H350&lt;=G350)</formula1>
    </dataValidation>
    <dataValidation sqref="A351" showDropDown="0" showInputMessage="0" showErrorMessage="1" allowBlank="1" errorTitle="Número de recebimento inválido" error="Escolha um número de recebimento já lançado na seção 1." type="list">
      <formula1>=$A$7:$A$56</formula1>
    </dataValidation>
    <dataValidation sqref="D351" showDropDown="0" showInputMessage="0" showErrorMessage="1" allowBlank="1" errorTitle="Código não cadastrado" error="Escolha um código de escola da lista." type="list">
      <formula1>='Entrada de Dados'!$A$6:$A$196</formula1>
    </dataValidation>
    <dataValidation sqref="G351" showDropDown="0" showInputMessage="0" showErrorMessage="1" allowBlank="1" errorTitle="Inválido" error="Não pode ser negativo." type="decimal" errorStyle="stop" operator="greaterThanOrEqual">
      <formula1>0</formula1>
    </dataValidation>
    <dataValidation sqref="H351" showDropDown="0" showInputMessage="0" showErrorMessage="1" allowBlank="1" errorTitle="Rejeição maior que o apresentado" error="A rejeição não pode ser maior que a quantidade apresentada." type="custom" errorStyle="stop">
      <formula1>AND(H351&gt;=0,H351&lt;=G351)</formula1>
    </dataValidation>
    <dataValidation sqref="A352" showDropDown="0" showInputMessage="0" showErrorMessage="1" allowBlank="1" errorTitle="Número de recebimento inválido" error="Escolha um número de recebimento já lançado na seção 1." type="list">
      <formula1>=$A$7:$A$56</formula1>
    </dataValidation>
    <dataValidation sqref="D352" showDropDown="0" showInputMessage="0" showErrorMessage="1" allowBlank="1" errorTitle="Código não cadastrado" error="Escolha um código de escola da lista." type="list">
      <formula1>='Entrada de Dados'!$A$6:$A$196</formula1>
    </dataValidation>
    <dataValidation sqref="G352" showDropDown="0" showInputMessage="0" showErrorMessage="1" allowBlank="1" errorTitle="Inválido" error="Não pode ser negativo." type="decimal" errorStyle="stop" operator="greaterThanOrEqual">
      <formula1>0</formula1>
    </dataValidation>
    <dataValidation sqref="H352" showDropDown="0" showInputMessage="0" showErrorMessage="1" allowBlank="1" errorTitle="Rejeição maior que o apresentado" error="A rejeição não pode ser maior que a quantidade apresentada." type="custom" errorStyle="stop">
      <formula1>AND(H352&gt;=0,H352&lt;=G352)</formula1>
    </dataValidation>
    <dataValidation sqref="A353" showDropDown="0" showInputMessage="0" showErrorMessage="1" allowBlank="1" errorTitle="Número de recebimento inválido" error="Escolha um número de recebimento já lançado na seção 1." type="list">
      <formula1>=$A$7:$A$56</formula1>
    </dataValidation>
    <dataValidation sqref="D353" showDropDown="0" showInputMessage="0" showErrorMessage="1" allowBlank="1" errorTitle="Código não cadastrado" error="Escolha um código de escola da lista." type="list">
      <formula1>='Entrada de Dados'!$A$6:$A$196</formula1>
    </dataValidation>
    <dataValidation sqref="G353" showDropDown="0" showInputMessage="0" showErrorMessage="1" allowBlank="1" errorTitle="Inválido" error="Não pode ser negativo." type="decimal" errorStyle="stop" operator="greaterThanOrEqual">
      <formula1>0</formula1>
    </dataValidation>
    <dataValidation sqref="H353" showDropDown="0" showInputMessage="0" showErrorMessage="1" allowBlank="1" errorTitle="Rejeição maior que o apresentado" error="A rejeição não pode ser maior que a quantidade apresentada." type="custom" errorStyle="stop">
      <formula1>AND(H353&gt;=0,H353&lt;=G353)</formula1>
    </dataValidation>
    <dataValidation sqref="A354" showDropDown="0" showInputMessage="0" showErrorMessage="1" allowBlank="1" errorTitle="Número de recebimento inválido" error="Escolha um número de recebimento já lançado na seção 1." type="list">
      <formula1>=$A$7:$A$56</formula1>
    </dataValidation>
    <dataValidation sqref="D354" showDropDown="0" showInputMessage="0" showErrorMessage="1" allowBlank="1" errorTitle="Código não cadastrado" error="Escolha um código de escola da lista." type="list">
      <formula1>='Entrada de Dados'!$A$6:$A$196</formula1>
    </dataValidation>
    <dataValidation sqref="G354" showDropDown="0" showInputMessage="0" showErrorMessage="1" allowBlank="1" errorTitle="Inválido" error="Não pode ser negativo." type="decimal" errorStyle="stop" operator="greaterThanOrEqual">
      <formula1>0</formula1>
    </dataValidation>
    <dataValidation sqref="H354" showDropDown="0" showInputMessage="0" showErrorMessage="1" allowBlank="1" errorTitle="Rejeição maior que o apresentado" error="A rejeição não pode ser maior que a quantidade apresentada." type="custom" errorStyle="stop">
      <formula1>AND(H354&gt;=0,H354&lt;=G354)</formula1>
    </dataValidation>
    <dataValidation sqref="A355" showDropDown="0" showInputMessage="0" showErrorMessage="1" allowBlank="1" errorTitle="Número de recebimento inválido" error="Escolha um número de recebimento já lançado na seção 1." type="list">
      <formula1>=$A$7:$A$56</formula1>
    </dataValidation>
    <dataValidation sqref="D355" showDropDown="0" showInputMessage="0" showErrorMessage="1" allowBlank="1" errorTitle="Código não cadastrado" error="Escolha um código de escola da lista." type="list">
      <formula1>='Entrada de Dados'!$A$6:$A$196</formula1>
    </dataValidation>
    <dataValidation sqref="G355" showDropDown="0" showInputMessage="0" showErrorMessage="1" allowBlank="1" errorTitle="Inválido" error="Não pode ser negativo." type="decimal" errorStyle="stop" operator="greaterThanOrEqual">
      <formula1>0</formula1>
    </dataValidation>
    <dataValidation sqref="H355" showDropDown="0" showInputMessage="0" showErrorMessage="1" allowBlank="1" errorTitle="Rejeição maior que o apresentado" error="A rejeição não pode ser maior que a quantidade apresentada." type="custom" errorStyle="stop">
      <formula1>AND(H355&gt;=0,H355&lt;=G355)</formula1>
    </dataValidation>
    <dataValidation sqref="A356" showDropDown="0" showInputMessage="0" showErrorMessage="1" allowBlank="1" errorTitle="Número de recebimento inválido" error="Escolha um número de recebimento já lançado na seção 1." type="list">
      <formula1>=$A$7:$A$56</formula1>
    </dataValidation>
    <dataValidation sqref="D356" showDropDown="0" showInputMessage="0" showErrorMessage="1" allowBlank="1" errorTitle="Código não cadastrado" error="Escolha um código de escola da lista." type="list">
      <formula1>='Entrada de Dados'!$A$6:$A$196</formula1>
    </dataValidation>
    <dataValidation sqref="G356" showDropDown="0" showInputMessage="0" showErrorMessage="1" allowBlank="1" errorTitle="Inválido" error="Não pode ser negativo." type="decimal" errorStyle="stop" operator="greaterThanOrEqual">
      <formula1>0</formula1>
    </dataValidation>
    <dataValidation sqref="H356" showDropDown="0" showInputMessage="0" showErrorMessage="1" allowBlank="1" errorTitle="Rejeição maior que o apresentado" error="A rejeição não pode ser maior que a quantidade apresentada." type="custom" errorStyle="stop">
      <formula1>AND(H356&gt;=0,H356&lt;=G356)</formula1>
    </dataValidation>
    <dataValidation sqref="A357" showDropDown="0" showInputMessage="0" showErrorMessage="1" allowBlank="1" errorTitle="Número de recebimento inválido" error="Escolha um número de recebimento já lançado na seção 1." type="list">
      <formula1>=$A$7:$A$56</formula1>
    </dataValidation>
    <dataValidation sqref="D357" showDropDown="0" showInputMessage="0" showErrorMessage="1" allowBlank="1" errorTitle="Código não cadastrado" error="Escolha um código de escola da lista." type="list">
      <formula1>='Entrada de Dados'!$A$6:$A$196</formula1>
    </dataValidation>
    <dataValidation sqref="G357" showDropDown="0" showInputMessage="0" showErrorMessage="1" allowBlank="1" errorTitle="Inválido" error="Não pode ser negativo." type="decimal" errorStyle="stop" operator="greaterThanOrEqual">
      <formula1>0</formula1>
    </dataValidation>
    <dataValidation sqref="H357" showDropDown="0" showInputMessage="0" showErrorMessage="1" allowBlank="1" errorTitle="Rejeição maior que o apresentado" error="A rejeição não pode ser maior que a quantidade apresentada." type="custom" errorStyle="stop">
      <formula1>AND(H357&gt;=0,H357&lt;=G357)</formula1>
    </dataValidation>
    <dataValidation sqref="A358" showDropDown="0" showInputMessage="0" showErrorMessage="1" allowBlank="1" errorTitle="Número de recebimento inválido" error="Escolha um número de recebimento já lançado na seção 1." type="list">
      <formula1>=$A$7:$A$56</formula1>
    </dataValidation>
    <dataValidation sqref="D358" showDropDown="0" showInputMessage="0" showErrorMessage="1" allowBlank="1" errorTitle="Código não cadastrado" error="Escolha um código de escola da lista." type="list">
      <formula1>='Entrada de Dados'!$A$6:$A$196</formula1>
    </dataValidation>
    <dataValidation sqref="G358" showDropDown="0" showInputMessage="0" showErrorMessage="1" allowBlank="1" errorTitle="Inválido" error="Não pode ser negativo." type="decimal" errorStyle="stop" operator="greaterThanOrEqual">
      <formula1>0</formula1>
    </dataValidation>
    <dataValidation sqref="H358" showDropDown="0" showInputMessage="0" showErrorMessage="1" allowBlank="1" errorTitle="Rejeição maior que o apresentado" error="A rejeição não pode ser maior que a quantidade apresentada." type="custom" errorStyle="stop">
      <formula1>AND(H358&gt;=0,H358&lt;=G358)</formula1>
    </dataValidation>
    <dataValidation sqref="A359" showDropDown="0" showInputMessage="0" showErrorMessage="1" allowBlank="1" errorTitle="Número de recebimento inválido" error="Escolha um número de recebimento já lançado na seção 1." type="list">
      <formula1>=$A$7:$A$56</formula1>
    </dataValidation>
    <dataValidation sqref="D359" showDropDown="0" showInputMessage="0" showErrorMessage="1" allowBlank="1" errorTitle="Código não cadastrado" error="Escolha um código de escola da lista." type="list">
      <formula1>='Entrada de Dados'!$A$6:$A$196</formula1>
    </dataValidation>
    <dataValidation sqref="G359" showDropDown="0" showInputMessage="0" showErrorMessage="1" allowBlank="1" errorTitle="Inválido" error="Não pode ser negativo." type="decimal" errorStyle="stop" operator="greaterThanOrEqual">
      <formula1>0</formula1>
    </dataValidation>
    <dataValidation sqref="H359" showDropDown="0" showInputMessage="0" showErrorMessage="1" allowBlank="1" errorTitle="Rejeição maior que o apresentado" error="A rejeição não pode ser maior que a quantidade apresentada." type="custom" errorStyle="stop">
      <formula1>AND(H359&gt;=0,H359&lt;=G359)</formula1>
    </dataValidation>
    <dataValidation sqref="A360" showDropDown="0" showInputMessage="0" showErrorMessage="1" allowBlank="1" errorTitle="Número de recebimento inválido" error="Escolha um número de recebimento já lançado na seção 1." type="list">
      <formula1>=$A$7:$A$56</formula1>
    </dataValidation>
    <dataValidation sqref="D360" showDropDown="0" showInputMessage="0" showErrorMessage="1" allowBlank="1" errorTitle="Código não cadastrado" error="Escolha um código de escola da lista." type="list">
      <formula1>='Entrada de Dados'!$A$6:$A$196</formula1>
    </dataValidation>
    <dataValidation sqref="G360" showDropDown="0" showInputMessage="0" showErrorMessage="1" allowBlank="1" errorTitle="Inválido" error="Não pode ser negativo." type="decimal" errorStyle="stop" operator="greaterThanOrEqual">
      <formula1>0</formula1>
    </dataValidation>
    <dataValidation sqref="H360" showDropDown="0" showInputMessage="0" showErrorMessage="1" allowBlank="1" errorTitle="Rejeição maior que o apresentado" error="A rejeição não pode ser maior que a quantidade apresentada." type="custom" errorStyle="stop">
      <formula1>AND(H360&gt;=0,H360&lt;=G360)</formula1>
    </dataValidation>
    <dataValidation sqref="A361" showDropDown="0" showInputMessage="0" showErrorMessage="1" allowBlank="1" errorTitle="Número de recebimento inválido" error="Escolha um número de recebimento já lançado na seção 1." type="list">
      <formula1>=$A$7:$A$56</formula1>
    </dataValidation>
    <dataValidation sqref="D361" showDropDown="0" showInputMessage="0" showErrorMessage="1" allowBlank="1" errorTitle="Código não cadastrado" error="Escolha um código de escola da lista." type="list">
      <formula1>='Entrada de Dados'!$A$6:$A$196</formula1>
    </dataValidation>
    <dataValidation sqref="G361" showDropDown="0" showInputMessage="0" showErrorMessage="1" allowBlank="1" errorTitle="Inválido" error="Não pode ser negativo." type="decimal" errorStyle="stop" operator="greaterThanOrEqual">
      <formula1>0</formula1>
    </dataValidation>
    <dataValidation sqref="H361" showDropDown="0" showInputMessage="0" showErrorMessage="1" allowBlank="1" errorTitle="Rejeição maior que o apresentado" error="A rejeição não pode ser maior que a quantidade apresentada." type="custom" errorStyle="stop">
      <formula1>AND(H361&gt;=0,H361&lt;=G361)</formula1>
    </dataValidation>
    <dataValidation sqref="A362" showDropDown="0" showInputMessage="0" showErrorMessage="1" allowBlank="1" errorTitle="Número de recebimento inválido" error="Escolha um número de recebimento já lançado na seção 1." type="list">
      <formula1>=$A$7:$A$56</formula1>
    </dataValidation>
    <dataValidation sqref="D362" showDropDown="0" showInputMessage="0" showErrorMessage="1" allowBlank="1" errorTitle="Código não cadastrado" error="Escolha um código de escola da lista." type="list">
      <formula1>='Entrada de Dados'!$A$6:$A$196</formula1>
    </dataValidation>
    <dataValidation sqref="G362" showDropDown="0" showInputMessage="0" showErrorMessage="1" allowBlank="1" errorTitle="Inválido" error="Não pode ser negativo." type="decimal" errorStyle="stop" operator="greaterThanOrEqual">
      <formula1>0</formula1>
    </dataValidation>
    <dataValidation sqref="H362" showDropDown="0" showInputMessage="0" showErrorMessage="1" allowBlank="1" errorTitle="Rejeição maior que o apresentado" error="A rejeição não pode ser maior que a quantidade apresentada." type="custom" errorStyle="stop">
      <formula1>AND(H362&gt;=0,H362&lt;=G362)</formula1>
    </dataValidation>
    <dataValidation sqref="A363" showDropDown="0" showInputMessage="0" showErrorMessage="1" allowBlank="1" errorTitle="Número de recebimento inválido" error="Escolha um número de recebimento já lançado na seção 1." type="list">
      <formula1>=$A$7:$A$56</formula1>
    </dataValidation>
    <dataValidation sqref="D363" showDropDown="0" showInputMessage="0" showErrorMessage="1" allowBlank="1" errorTitle="Código não cadastrado" error="Escolha um código de escola da lista." type="list">
      <formula1>='Entrada de Dados'!$A$6:$A$196</formula1>
    </dataValidation>
    <dataValidation sqref="G363" showDropDown="0" showInputMessage="0" showErrorMessage="1" allowBlank="1" errorTitle="Inválido" error="Não pode ser negativo." type="decimal" errorStyle="stop" operator="greaterThanOrEqual">
      <formula1>0</formula1>
    </dataValidation>
    <dataValidation sqref="H363" showDropDown="0" showInputMessage="0" showErrorMessage="1" allowBlank="1" errorTitle="Rejeição maior que o apresentado" error="A rejeição não pode ser maior que a quantidade apresentada." type="custom" errorStyle="stop">
      <formula1>AND(H363&gt;=0,H363&lt;=G363)</formula1>
    </dataValidation>
    <dataValidation sqref="A364" showDropDown="0" showInputMessage="0" showErrorMessage="1" allowBlank="1" errorTitle="Número de recebimento inválido" error="Escolha um número de recebimento já lançado na seção 1." type="list">
      <formula1>=$A$7:$A$56</formula1>
    </dataValidation>
    <dataValidation sqref="D364" showDropDown="0" showInputMessage="0" showErrorMessage="1" allowBlank="1" errorTitle="Código não cadastrado" error="Escolha um código de escola da lista." type="list">
      <formula1>='Entrada de Dados'!$A$6:$A$196</formula1>
    </dataValidation>
    <dataValidation sqref="G364" showDropDown="0" showInputMessage="0" showErrorMessage="1" allowBlank="1" errorTitle="Inválido" error="Não pode ser negativo." type="decimal" errorStyle="stop" operator="greaterThanOrEqual">
      <formula1>0</formula1>
    </dataValidation>
    <dataValidation sqref="H364" showDropDown="0" showInputMessage="0" showErrorMessage="1" allowBlank="1" errorTitle="Rejeição maior que o apresentado" error="A rejeição não pode ser maior que a quantidade apresentada." type="custom" errorStyle="stop">
      <formula1>AND(H364&gt;=0,H364&lt;=G364)</formula1>
    </dataValidation>
    <dataValidation sqref="A365" showDropDown="0" showInputMessage="0" showErrorMessage="1" allowBlank="1" errorTitle="Número de recebimento inválido" error="Escolha um número de recebimento já lançado na seção 1." type="list">
      <formula1>=$A$7:$A$56</formula1>
    </dataValidation>
    <dataValidation sqref="D365" showDropDown="0" showInputMessage="0" showErrorMessage="1" allowBlank="1" errorTitle="Código não cadastrado" error="Escolha um código de escola da lista." type="list">
      <formula1>='Entrada de Dados'!$A$6:$A$196</formula1>
    </dataValidation>
    <dataValidation sqref="G365" showDropDown="0" showInputMessage="0" showErrorMessage="1" allowBlank="1" errorTitle="Inválido" error="Não pode ser negativo." type="decimal" errorStyle="stop" operator="greaterThanOrEqual">
      <formula1>0</formula1>
    </dataValidation>
    <dataValidation sqref="H365" showDropDown="0" showInputMessage="0" showErrorMessage="1" allowBlank="1" errorTitle="Rejeição maior que o apresentado" error="A rejeição não pode ser maior que a quantidade apresentada." type="custom" errorStyle="stop">
      <formula1>AND(H365&gt;=0,H365&lt;=G365)</formula1>
    </dataValidation>
    <dataValidation sqref="A366" showDropDown="0" showInputMessage="0" showErrorMessage="1" allowBlank="1" errorTitle="Número de recebimento inválido" error="Escolha um número de recebimento já lançado na seção 1." type="list">
      <formula1>=$A$7:$A$56</formula1>
    </dataValidation>
    <dataValidation sqref="D366" showDropDown="0" showInputMessage="0" showErrorMessage="1" allowBlank="1" errorTitle="Código não cadastrado" error="Escolha um código de escola da lista." type="list">
      <formula1>='Entrada de Dados'!$A$6:$A$196</formula1>
    </dataValidation>
    <dataValidation sqref="G366" showDropDown="0" showInputMessage="0" showErrorMessage="1" allowBlank="1" errorTitle="Inválido" error="Não pode ser negativo." type="decimal" errorStyle="stop" operator="greaterThanOrEqual">
      <formula1>0</formula1>
    </dataValidation>
    <dataValidation sqref="H366" showDropDown="0" showInputMessage="0" showErrorMessage="1" allowBlank="1" errorTitle="Rejeição maior que o apresentado" error="A rejeição não pode ser maior que a quantidade apresentada." type="custom" errorStyle="stop">
      <formula1>AND(H366&gt;=0,H366&lt;=G366)</formula1>
    </dataValidation>
    <dataValidation sqref="A367" showDropDown="0" showInputMessage="0" showErrorMessage="1" allowBlank="1" errorTitle="Número de recebimento inválido" error="Escolha um número de recebimento já lançado na seção 1." type="list">
      <formula1>=$A$7:$A$56</formula1>
    </dataValidation>
    <dataValidation sqref="D367" showDropDown="0" showInputMessage="0" showErrorMessage="1" allowBlank="1" errorTitle="Código não cadastrado" error="Escolha um código de escola da lista." type="list">
      <formula1>='Entrada de Dados'!$A$6:$A$196</formula1>
    </dataValidation>
    <dataValidation sqref="G367" showDropDown="0" showInputMessage="0" showErrorMessage="1" allowBlank="1" errorTitle="Inválido" error="Não pode ser negativo." type="decimal" errorStyle="stop" operator="greaterThanOrEqual">
      <formula1>0</formula1>
    </dataValidation>
    <dataValidation sqref="H367" showDropDown="0" showInputMessage="0" showErrorMessage="1" allowBlank="1" errorTitle="Rejeição maior que o apresentado" error="A rejeição não pode ser maior que a quantidade apresentada." type="custom" errorStyle="stop">
      <formula1>AND(H367&gt;=0,H367&lt;=G367)</formula1>
    </dataValidation>
    <dataValidation sqref="A368" showDropDown="0" showInputMessage="0" showErrorMessage="1" allowBlank="1" errorTitle="Número de recebimento inválido" error="Escolha um número de recebimento já lançado na seção 1." type="list">
      <formula1>=$A$7:$A$56</formula1>
    </dataValidation>
    <dataValidation sqref="D368" showDropDown="0" showInputMessage="0" showErrorMessage="1" allowBlank="1" errorTitle="Código não cadastrado" error="Escolha um código de escola da lista." type="list">
      <formula1>='Entrada de Dados'!$A$6:$A$196</formula1>
    </dataValidation>
    <dataValidation sqref="G368" showDropDown="0" showInputMessage="0" showErrorMessage="1" allowBlank="1" errorTitle="Inválido" error="Não pode ser negativo." type="decimal" errorStyle="stop" operator="greaterThanOrEqual">
      <formula1>0</formula1>
    </dataValidation>
    <dataValidation sqref="H368" showDropDown="0" showInputMessage="0" showErrorMessage="1" allowBlank="1" errorTitle="Rejeição maior que o apresentado" error="A rejeição não pode ser maior que a quantidade apresentada." type="custom" errorStyle="stop">
      <formula1>AND(H368&gt;=0,H368&lt;=G368)</formula1>
    </dataValidation>
    <dataValidation sqref="A369" showDropDown="0" showInputMessage="0" showErrorMessage="1" allowBlank="1" errorTitle="Número de recebimento inválido" error="Escolha um número de recebimento já lançado na seção 1." type="list">
      <formula1>=$A$7:$A$56</formula1>
    </dataValidation>
    <dataValidation sqref="D369" showDropDown="0" showInputMessage="0" showErrorMessage="1" allowBlank="1" errorTitle="Código não cadastrado" error="Escolha um código de escola da lista." type="list">
      <formula1>='Entrada de Dados'!$A$6:$A$196</formula1>
    </dataValidation>
    <dataValidation sqref="G369" showDropDown="0" showInputMessage="0" showErrorMessage="1" allowBlank="1" errorTitle="Inválido" error="Não pode ser negativo." type="decimal" errorStyle="stop" operator="greaterThanOrEqual">
      <formula1>0</formula1>
    </dataValidation>
    <dataValidation sqref="H369" showDropDown="0" showInputMessage="0" showErrorMessage="1" allowBlank="1" errorTitle="Rejeição maior que o apresentado" error="A rejeição não pode ser maior que a quantidade apresentada." type="custom" errorStyle="stop">
      <formula1>AND(H369&gt;=0,H369&lt;=G369)</formula1>
    </dataValidation>
    <dataValidation sqref="A370" showDropDown="0" showInputMessage="0" showErrorMessage="1" allowBlank="1" errorTitle="Número de recebimento inválido" error="Escolha um número de recebimento já lançado na seção 1." type="list">
      <formula1>=$A$7:$A$56</formula1>
    </dataValidation>
    <dataValidation sqref="D370" showDropDown="0" showInputMessage="0" showErrorMessage="1" allowBlank="1" errorTitle="Código não cadastrado" error="Escolha um código de escola da lista." type="list">
      <formula1>='Entrada de Dados'!$A$6:$A$196</formula1>
    </dataValidation>
    <dataValidation sqref="G370" showDropDown="0" showInputMessage="0" showErrorMessage="1" allowBlank="1" errorTitle="Inválido" error="Não pode ser negativo." type="decimal" errorStyle="stop" operator="greaterThanOrEqual">
      <formula1>0</formula1>
    </dataValidation>
    <dataValidation sqref="H370" showDropDown="0" showInputMessage="0" showErrorMessage="1" allowBlank="1" errorTitle="Rejeição maior que o apresentado" error="A rejeição não pode ser maior que a quantidade apresentada." type="custom" errorStyle="stop">
      <formula1>AND(H370&gt;=0,H370&lt;=G370)</formula1>
    </dataValidation>
    <dataValidation sqref="A371" showDropDown="0" showInputMessage="0" showErrorMessage="1" allowBlank="1" errorTitle="Número de recebimento inválido" error="Escolha um número de recebimento já lançado na seção 1." type="list">
      <formula1>=$A$7:$A$56</formula1>
    </dataValidation>
    <dataValidation sqref="D371" showDropDown="0" showInputMessage="0" showErrorMessage="1" allowBlank="1" errorTitle="Código não cadastrado" error="Escolha um código de escola da lista." type="list">
      <formula1>='Entrada de Dados'!$A$6:$A$196</formula1>
    </dataValidation>
    <dataValidation sqref="G371" showDropDown="0" showInputMessage="0" showErrorMessage="1" allowBlank="1" errorTitle="Inválido" error="Não pode ser negativo." type="decimal" errorStyle="stop" operator="greaterThanOrEqual">
      <formula1>0</formula1>
    </dataValidation>
    <dataValidation sqref="H371" showDropDown="0" showInputMessage="0" showErrorMessage="1" allowBlank="1" errorTitle="Rejeição maior que o apresentado" error="A rejeição não pode ser maior que a quantidade apresentada." type="custom" errorStyle="stop">
      <formula1>AND(H371&gt;=0,H371&lt;=G371)</formula1>
    </dataValidation>
    <dataValidation sqref="A372" showDropDown="0" showInputMessage="0" showErrorMessage="1" allowBlank="1" errorTitle="Número de recebimento inválido" error="Escolha um número de recebimento já lançado na seção 1." type="list">
      <formula1>=$A$7:$A$56</formula1>
    </dataValidation>
    <dataValidation sqref="D372" showDropDown="0" showInputMessage="0" showErrorMessage="1" allowBlank="1" errorTitle="Código não cadastrado" error="Escolha um código de escola da lista." type="list">
      <formula1>='Entrada de Dados'!$A$6:$A$196</formula1>
    </dataValidation>
    <dataValidation sqref="G372" showDropDown="0" showInputMessage="0" showErrorMessage="1" allowBlank="1" errorTitle="Inválido" error="Não pode ser negativo." type="decimal" errorStyle="stop" operator="greaterThanOrEqual">
      <formula1>0</formula1>
    </dataValidation>
    <dataValidation sqref="H372" showDropDown="0" showInputMessage="0" showErrorMessage="1" allowBlank="1" errorTitle="Rejeição maior que o apresentado" error="A rejeição não pode ser maior que a quantidade apresentada." type="custom" errorStyle="stop">
      <formula1>AND(H372&gt;=0,H372&lt;=G372)</formula1>
    </dataValidation>
    <dataValidation sqref="A373" showDropDown="0" showInputMessage="0" showErrorMessage="1" allowBlank="1" errorTitle="Número de recebimento inválido" error="Escolha um número de recebimento já lançado na seção 1." type="list">
      <formula1>=$A$7:$A$56</formula1>
    </dataValidation>
    <dataValidation sqref="D373" showDropDown="0" showInputMessage="0" showErrorMessage="1" allowBlank="1" errorTitle="Código não cadastrado" error="Escolha um código de escola da lista." type="list">
      <formula1>='Entrada de Dados'!$A$6:$A$196</formula1>
    </dataValidation>
    <dataValidation sqref="G373" showDropDown="0" showInputMessage="0" showErrorMessage="1" allowBlank="1" errorTitle="Inválido" error="Não pode ser negativo." type="decimal" errorStyle="stop" operator="greaterThanOrEqual">
      <formula1>0</formula1>
    </dataValidation>
    <dataValidation sqref="H373" showDropDown="0" showInputMessage="0" showErrorMessage="1" allowBlank="1" errorTitle="Rejeição maior que o apresentado" error="A rejeição não pode ser maior que a quantidade apresentada." type="custom" errorStyle="stop">
      <formula1>AND(H373&gt;=0,H373&lt;=G373)</formula1>
    </dataValidation>
    <dataValidation sqref="A374" showDropDown="0" showInputMessage="0" showErrorMessage="1" allowBlank="1" errorTitle="Número de recebimento inválido" error="Escolha um número de recebimento já lançado na seção 1." type="list">
      <formula1>=$A$7:$A$56</formula1>
    </dataValidation>
    <dataValidation sqref="D374" showDropDown="0" showInputMessage="0" showErrorMessage="1" allowBlank="1" errorTitle="Código não cadastrado" error="Escolha um código de escola da lista." type="list">
      <formula1>='Entrada de Dados'!$A$6:$A$196</formula1>
    </dataValidation>
    <dataValidation sqref="G374" showDropDown="0" showInputMessage="0" showErrorMessage="1" allowBlank="1" errorTitle="Inválido" error="Não pode ser negativo." type="decimal" errorStyle="stop" operator="greaterThanOrEqual">
      <formula1>0</formula1>
    </dataValidation>
    <dataValidation sqref="H374" showDropDown="0" showInputMessage="0" showErrorMessage="1" allowBlank="1" errorTitle="Rejeição maior que o apresentado" error="A rejeição não pode ser maior que a quantidade apresentada." type="custom" errorStyle="stop">
      <formula1>AND(H374&gt;=0,H374&lt;=G374)</formula1>
    </dataValidation>
    <dataValidation sqref="A375" showDropDown="0" showInputMessage="0" showErrorMessage="1" allowBlank="1" errorTitle="Número de recebimento inválido" error="Escolha um número de recebimento já lançado na seção 1." type="list">
      <formula1>=$A$7:$A$56</formula1>
    </dataValidation>
    <dataValidation sqref="D375" showDropDown="0" showInputMessage="0" showErrorMessage="1" allowBlank="1" errorTitle="Código não cadastrado" error="Escolha um código de escola da lista." type="list">
      <formula1>='Entrada de Dados'!$A$6:$A$196</formula1>
    </dataValidation>
    <dataValidation sqref="G375" showDropDown="0" showInputMessage="0" showErrorMessage="1" allowBlank="1" errorTitle="Inválido" error="Não pode ser negativo." type="decimal" errorStyle="stop" operator="greaterThanOrEqual">
      <formula1>0</formula1>
    </dataValidation>
    <dataValidation sqref="H375" showDropDown="0" showInputMessage="0" showErrorMessage="1" allowBlank="1" errorTitle="Rejeição maior que o apresentado" error="A rejeição não pode ser maior que a quantidade apresentada." type="custom" errorStyle="stop">
      <formula1>AND(H375&gt;=0,H375&lt;=G375)</formula1>
    </dataValidation>
    <dataValidation sqref="A376" showDropDown="0" showInputMessage="0" showErrorMessage="1" allowBlank="1" errorTitle="Número de recebimento inválido" error="Escolha um número de recebimento já lançado na seção 1." type="list">
      <formula1>=$A$7:$A$56</formula1>
    </dataValidation>
    <dataValidation sqref="D376" showDropDown="0" showInputMessage="0" showErrorMessage="1" allowBlank="1" errorTitle="Código não cadastrado" error="Escolha um código de escola da lista." type="list">
      <formula1>='Entrada de Dados'!$A$6:$A$196</formula1>
    </dataValidation>
    <dataValidation sqref="G376" showDropDown="0" showInputMessage="0" showErrorMessage="1" allowBlank="1" errorTitle="Inválido" error="Não pode ser negativo." type="decimal" errorStyle="stop" operator="greaterThanOrEqual">
      <formula1>0</formula1>
    </dataValidation>
    <dataValidation sqref="H376" showDropDown="0" showInputMessage="0" showErrorMessage="1" allowBlank="1" errorTitle="Rejeição maior que o apresentado" error="A rejeição não pode ser maior que a quantidade apresentada." type="custom" errorStyle="stop">
      <formula1>AND(H376&gt;=0,H376&lt;=G376)</formula1>
    </dataValidation>
    <dataValidation sqref="A377" showDropDown="0" showInputMessage="0" showErrorMessage="1" allowBlank="1" errorTitle="Número de recebimento inválido" error="Escolha um número de recebimento já lançado na seção 1." type="list">
      <formula1>=$A$7:$A$56</formula1>
    </dataValidation>
    <dataValidation sqref="D377" showDropDown="0" showInputMessage="0" showErrorMessage="1" allowBlank="1" errorTitle="Código não cadastrado" error="Escolha um código de escola da lista." type="list">
      <formula1>='Entrada de Dados'!$A$6:$A$196</formula1>
    </dataValidation>
    <dataValidation sqref="G377" showDropDown="0" showInputMessage="0" showErrorMessage="1" allowBlank="1" errorTitle="Inválido" error="Não pode ser negativo." type="decimal" errorStyle="stop" operator="greaterThanOrEqual">
      <formula1>0</formula1>
    </dataValidation>
    <dataValidation sqref="H377" showDropDown="0" showInputMessage="0" showErrorMessage="1" allowBlank="1" errorTitle="Rejeição maior que o apresentado" error="A rejeição não pode ser maior que a quantidade apresentada." type="custom" errorStyle="stop">
      <formula1>AND(H377&gt;=0,H377&lt;=G377)</formula1>
    </dataValidation>
    <dataValidation sqref="A378" showDropDown="0" showInputMessage="0" showErrorMessage="1" allowBlank="1" errorTitle="Número de recebimento inválido" error="Escolha um número de recebimento já lançado na seção 1." type="list">
      <formula1>=$A$7:$A$56</formula1>
    </dataValidation>
    <dataValidation sqref="D378" showDropDown="0" showInputMessage="0" showErrorMessage="1" allowBlank="1" errorTitle="Código não cadastrado" error="Escolha um código de escola da lista." type="list">
      <formula1>='Entrada de Dados'!$A$6:$A$196</formula1>
    </dataValidation>
    <dataValidation sqref="G378" showDropDown="0" showInputMessage="0" showErrorMessage="1" allowBlank="1" errorTitle="Inválido" error="Não pode ser negativo." type="decimal" errorStyle="stop" operator="greaterThanOrEqual">
      <formula1>0</formula1>
    </dataValidation>
    <dataValidation sqref="H378" showDropDown="0" showInputMessage="0" showErrorMessage="1" allowBlank="1" errorTitle="Rejeição maior que o apresentado" error="A rejeição não pode ser maior que a quantidade apresentada." type="custom" errorStyle="stop">
      <formula1>AND(H378&gt;=0,H378&lt;=G378)</formula1>
    </dataValidation>
    <dataValidation sqref="A379" showDropDown="0" showInputMessage="0" showErrorMessage="1" allowBlank="1" errorTitle="Número de recebimento inválido" error="Escolha um número de recebimento já lançado na seção 1." type="list">
      <formula1>=$A$7:$A$56</formula1>
    </dataValidation>
    <dataValidation sqref="D379" showDropDown="0" showInputMessage="0" showErrorMessage="1" allowBlank="1" errorTitle="Código não cadastrado" error="Escolha um código de escola da lista." type="list">
      <formula1>='Entrada de Dados'!$A$6:$A$196</formula1>
    </dataValidation>
    <dataValidation sqref="G379" showDropDown="0" showInputMessage="0" showErrorMessage="1" allowBlank="1" errorTitle="Inválido" error="Não pode ser negativo." type="decimal" errorStyle="stop" operator="greaterThanOrEqual">
      <formula1>0</formula1>
    </dataValidation>
    <dataValidation sqref="H379" showDropDown="0" showInputMessage="0" showErrorMessage="1" allowBlank="1" errorTitle="Rejeição maior que o apresentado" error="A rejeição não pode ser maior que a quantidade apresentada." type="custom" errorStyle="stop">
      <formula1>AND(H379&gt;=0,H379&lt;=G379)</formula1>
    </dataValidation>
    <dataValidation sqref="A380" showDropDown="0" showInputMessage="0" showErrorMessage="1" allowBlank="1" errorTitle="Número de recebimento inválido" error="Escolha um número de recebimento já lançado na seção 1." type="list">
      <formula1>=$A$7:$A$56</formula1>
    </dataValidation>
    <dataValidation sqref="D380" showDropDown="0" showInputMessage="0" showErrorMessage="1" allowBlank="1" errorTitle="Código não cadastrado" error="Escolha um código de escola da lista." type="list">
      <formula1>='Entrada de Dados'!$A$6:$A$196</formula1>
    </dataValidation>
    <dataValidation sqref="G380" showDropDown="0" showInputMessage="0" showErrorMessage="1" allowBlank="1" errorTitle="Inválido" error="Não pode ser negativo." type="decimal" errorStyle="stop" operator="greaterThanOrEqual">
      <formula1>0</formula1>
    </dataValidation>
    <dataValidation sqref="H380" showDropDown="0" showInputMessage="0" showErrorMessage="1" allowBlank="1" errorTitle="Rejeição maior que o apresentado" error="A rejeição não pode ser maior que a quantidade apresentada." type="custom" errorStyle="stop">
      <formula1>AND(H380&gt;=0,H380&lt;=G380)</formula1>
    </dataValidation>
    <dataValidation sqref="A381" showDropDown="0" showInputMessage="0" showErrorMessage="1" allowBlank="1" errorTitle="Número de recebimento inválido" error="Escolha um número de recebimento já lançado na seção 1." type="list">
      <formula1>=$A$7:$A$56</formula1>
    </dataValidation>
    <dataValidation sqref="D381" showDropDown="0" showInputMessage="0" showErrorMessage="1" allowBlank="1" errorTitle="Código não cadastrado" error="Escolha um código de escola da lista." type="list">
      <formula1>='Entrada de Dados'!$A$6:$A$196</formula1>
    </dataValidation>
    <dataValidation sqref="G381" showDropDown="0" showInputMessage="0" showErrorMessage="1" allowBlank="1" errorTitle="Inválido" error="Não pode ser negativo." type="decimal" errorStyle="stop" operator="greaterThanOrEqual">
      <formula1>0</formula1>
    </dataValidation>
    <dataValidation sqref="H381" showDropDown="0" showInputMessage="0" showErrorMessage="1" allowBlank="1" errorTitle="Rejeição maior que o apresentado" error="A rejeição não pode ser maior que a quantidade apresentada." type="custom" errorStyle="stop">
      <formula1>AND(H381&gt;=0,H381&lt;=G381)</formula1>
    </dataValidation>
    <dataValidation sqref="A382" showDropDown="0" showInputMessage="0" showErrorMessage="1" allowBlank="1" errorTitle="Número de recebimento inválido" error="Escolha um número de recebimento já lançado na seção 1." type="list">
      <formula1>=$A$7:$A$56</formula1>
    </dataValidation>
    <dataValidation sqref="D382" showDropDown="0" showInputMessage="0" showErrorMessage="1" allowBlank="1" errorTitle="Código não cadastrado" error="Escolha um código de escola da lista." type="list">
      <formula1>='Entrada de Dados'!$A$6:$A$196</formula1>
    </dataValidation>
    <dataValidation sqref="G382" showDropDown="0" showInputMessage="0" showErrorMessage="1" allowBlank="1" errorTitle="Inválido" error="Não pode ser negativo." type="decimal" errorStyle="stop" operator="greaterThanOrEqual">
      <formula1>0</formula1>
    </dataValidation>
    <dataValidation sqref="H382" showDropDown="0" showInputMessage="0" showErrorMessage="1" allowBlank="1" errorTitle="Rejeição maior que o apresentado" error="A rejeição não pode ser maior que a quantidade apresentada." type="custom" errorStyle="stop">
      <formula1>AND(H382&gt;=0,H382&lt;=G382)</formula1>
    </dataValidation>
    <dataValidation sqref="A383" showDropDown="0" showInputMessage="0" showErrorMessage="1" allowBlank="1" errorTitle="Número de recebimento inválido" error="Escolha um número de recebimento já lançado na seção 1." type="list">
      <formula1>=$A$7:$A$56</formula1>
    </dataValidation>
    <dataValidation sqref="D383" showDropDown="0" showInputMessage="0" showErrorMessage="1" allowBlank="1" errorTitle="Código não cadastrado" error="Escolha um código de escola da lista." type="list">
      <formula1>='Entrada de Dados'!$A$6:$A$196</formula1>
    </dataValidation>
    <dataValidation sqref="G383" showDropDown="0" showInputMessage="0" showErrorMessage="1" allowBlank="1" errorTitle="Inválido" error="Não pode ser negativo." type="decimal" errorStyle="stop" operator="greaterThanOrEqual">
      <formula1>0</formula1>
    </dataValidation>
    <dataValidation sqref="H383" showDropDown="0" showInputMessage="0" showErrorMessage="1" allowBlank="1" errorTitle="Rejeição maior que o apresentado" error="A rejeição não pode ser maior que a quantidade apresentada." type="custom" errorStyle="stop">
      <formula1>AND(H383&gt;=0,H383&lt;=G383)</formula1>
    </dataValidation>
    <dataValidation sqref="A384" showDropDown="0" showInputMessage="0" showErrorMessage="1" allowBlank="1" errorTitle="Número de recebimento inválido" error="Escolha um número de recebimento já lançado na seção 1." type="list">
      <formula1>=$A$7:$A$56</formula1>
    </dataValidation>
    <dataValidation sqref="D384" showDropDown="0" showInputMessage="0" showErrorMessage="1" allowBlank="1" errorTitle="Código não cadastrado" error="Escolha um código de escola da lista." type="list">
      <formula1>='Entrada de Dados'!$A$6:$A$196</formula1>
    </dataValidation>
    <dataValidation sqref="G384" showDropDown="0" showInputMessage="0" showErrorMessage="1" allowBlank="1" errorTitle="Inválido" error="Não pode ser negativo." type="decimal" errorStyle="stop" operator="greaterThanOrEqual">
      <formula1>0</formula1>
    </dataValidation>
    <dataValidation sqref="H384" showDropDown="0" showInputMessage="0" showErrorMessage="1" allowBlank="1" errorTitle="Rejeição maior que o apresentado" error="A rejeição não pode ser maior que a quantidade apresentada." type="custom" errorStyle="stop">
      <formula1>AND(H384&gt;=0,H384&lt;=G384)</formula1>
    </dataValidation>
    <dataValidation sqref="A385" showDropDown="0" showInputMessage="0" showErrorMessage="1" allowBlank="1" errorTitle="Número de recebimento inválido" error="Escolha um número de recebimento já lançado na seção 1." type="list">
      <formula1>=$A$7:$A$56</formula1>
    </dataValidation>
    <dataValidation sqref="D385" showDropDown="0" showInputMessage="0" showErrorMessage="1" allowBlank="1" errorTitle="Código não cadastrado" error="Escolha um código de escola da lista." type="list">
      <formula1>='Entrada de Dados'!$A$6:$A$196</formula1>
    </dataValidation>
    <dataValidation sqref="G385" showDropDown="0" showInputMessage="0" showErrorMessage="1" allowBlank="1" errorTitle="Inválido" error="Não pode ser negativo." type="decimal" errorStyle="stop" operator="greaterThanOrEqual">
      <formula1>0</formula1>
    </dataValidation>
    <dataValidation sqref="H385" showDropDown="0" showInputMessage="0" showErrorMessage="1" allowBlank="1" errorTitle="Rejeição maior que o apresentado" error="A rejeição não pode ser maior que a quantidade apresentada." type="custom" errorStyle="stop">
      <formula1>AND(H385&gt;=0,H385&lt;=G385)</formula1>
    </dataValidation>
    <dataValidation sqref="A386" showDropDown="0" showInputMessage="0" showErrorMessage="1" allowBlank="1" errorTitle="Número de recebimento inválido" error="Escolha um número de recebimento já lançado na seção 1." type="list">
      <formula1>=$A$7:$A$56</formula1>
    </dataValidation>
    <dataValidation sqref="D386" showDropDown="0" showInputMessage="0" showErrorMessage="1" allowBlank="1" errorTitle="Código não cadastrado" error="Escolha um código de escola da lista." type="list">
      <formula1>='Entrada de Dados'!$A$6:$A$196</formula1>
    </dataValidation>
    <dataValidation sqref="G386" showDropDown="0" showInputMessage="0" showErrorMessage="1" allowBlank="1" errorTitle="Inválido" error="Não pode ser negativo." type="decimal" errorStyle="stop" operator="greaterThanOrEqual">
      <formula1>0</formula1>
    </dataValidation>
    <dataValidation sqref="H386" showDropDown="0" showInputMessage="0" showErrorMessage="1" allowBlank="1" errorTitle="Rejeição maior que o apresentado" error="A rejeição não pode ser maior que a quantidade apresentada." type="custom" errorStyle="stop">
      <formula1>AND(H386&gt;=0,H386&lt;=G386)</formula1>
    </dataValidation>
    <dataValidation sqref="A387" showDropDown="0" showInputMessage="0" showErrorMessage="1" allowBlank="1" errorTitle="Número de recebimento inválido" error="Escolha um número de recebimento já lançado na seção 1." type="list">
      <formula1>=$A$7:$A$56</formula1>
    </dataValidation>
    <dataValidation sqref="D387" showDropDown="0" showInputMessage="0" showErrorMessage="1" allowBlank="1" errorTitle="Código não cadastrado" error="Escolha um código de escola da lista." type="list">
      <formula1>='Entrada de Dados'!$A$6:$A$196</formula1>
    </dataValidation>
    <dataValidation sqref="G387" showDropDown="0" showInputMessage="0" showErrorMessage="1" allowBlank="1" errorTitle="Inválido" error="Não pode ser negativo." type="decimal" errorStyle="stop" operator="greaterThanOrEqual">
      <formula1>0</formula1>
    </dataValidation>
    <dataValidation sqref="H387" showDropDown="0" showInputMessage="0" showErrorMessage="1" allowBlank="1" errorTitle="Rejeição maior que o apresentado" error="A rejeição não pode ser maior que a quantidade apresentada." type="custom" errorStyle="stop">
      <formula1>AND(H387&gt;=0,H387&lt;=G387)</formula1>
    </dataValidation>
    <dataValidation sqref="A388" showDropDown="0" showInputMessage="0" showErrorMessage="1" allowBlank="1" errorTitle="Número de recebimento inválido" error="Escolha um número de recebimento já lançado na seção 1." type="list">
      <formula1>=$A$7:$A$56</formula1>
    </dataValidation>
    <dataValidation sqref="D388" showDropDown="0" showInputMessage="0" showErrorMessage="1" allowBlank="1" errorTitle="Código não cadastrado" error="Escolha um código de escola da lista." type="list">
      <formula1>='Entrada de Dados'!$A$6:$A$196</formula1>
    </dataValidation>
    <dataValidation sqref="G388" showDropDown="0" showInputMessage="0" showErrorMessage="1" allowBlank="1" errorTitle="Inválido" error="Não pode ser negativo." type="decimal" errorStyle="stop" operator="greaterThanOrEqual">
      <formula1>0</formula1>
    </dataValidation>
    <dataValidation sqref="H388" showDropDown="0" showInputMessage="0" showErrorMessage="1" allowBlank="1" errorTitle="Rejeição maior que o apresentado" error="A rejeição não pode ser maior que a quantidade apresentada." type="custom" errorStyle="stop">
      <formula1>AND(H388&gt;=0,H388&lt;=G388)</formula1>
    </dataValidation>
    <dataValidation sqref="A389" showDropDown="0" showInputMessage="0" showErrorMessage="1" allowBlank="1" errorTitle="Número de recebimento inválido" error="Escolha um número de recebimento já lançado na seção 1." type="list">
      <formula1>=$A$7:$A$56</formula1>
    </dataValidation>
    <dataValidation sqref="D389" showDropDown="0" showInputMessage="0" showErrorMessage="1" allowBlank="1" errorTitle="Código não cadastrado" error="Escolha um código de escola da lista." type="list">
      <formula1>='Entrada de Dados'!$A$6:$A$196</formula1>
    </dataValidation>
    <dataValidation sqref="G389" showDropDown="0" showInputMessage="0" showErrorMessage="1" allowBlank="1" errorTitle="Inválido" error="Não pode ser negativo." type="decimal" errorStyle="stop" operator="greaterThanOrEqual">
      <formula1>0</formula1>
    </dataValidation>
    <dataValidation sqref="H389" showDropDown="0" showInputMessage="0" showErrorMessage="1" allowBlank="1" errorTitle="Rejeição maior que o apresentado" error="A rejeição não pode ser maior que a quantidade apresentada." type="custom" errorStyle="stop">
      <formula1>AND(H389&gt;=0,H389&lt;=G389)</formula1>
    </dataValidation>
    <dataValidation sqref="A390" showDropDown="0" showInputMessage="0" showErrorMessage="1" allowBlank="1" errorTitle="Número de recebimento inválido" error="Escolha um número de recebimento já lançado na seção 1." type="list">
      <formula1>=$A$7:$A$56</formula1>
    </dataValidation>
    <dataValidation sqref="D390" showDropDown="0" showInputMessage="0" showErrorMessage="1" allowBlank="1" errorTitle="Código não cadastrado" error="Escolha um código de escola da lista." type="list">
      <formula1>='Entrada de Dados'!$A$6:$A$196</formula1>
    </dataValidation>
    <dataValidation sqref="G390" showDropDown="0" showInputMessage="0" showErrorMessage="1" allowBlank="1" errorTitle="Inválido" error="Não pode ser negativo." type="decimal" errorStyle="stop" operator="greaterThanOrEqual">
      <formula1>0</formula1>
    </dataValidation>
    <dataValidation sqref="H390" showDropDown="0" showInputMessage="0" showErrorMessage="1" allowBlank="1" errorTitle="Rejeição maior que o apresentado" error="A rejeição não pode ser maior que a quantidade apresentada." type="custom" errorStyle="stop">
      <formula1>AND(H390&gt;=0,H390&lt;=G390)</formula1>
    </dataValidation>
    <dataValidation sqref="A391" showDropDown="0" showInputMessage="0" showErrorMessage="1" allowBlank="1" errorTitle="Número de recebimento inválido" error="Escolha um número de recebimento já lançado na seção 1." type="list">
      <formula1>=$A$7:$A$56</formula1>
    </dataValidation>
    <dataValidation sqref="D391" showDropDown="0" showInputMessage="0" showErrorMessage="1" allowBlank="1" errorTitle="Código não cadastrado" error="Escolha um código de escola da lista." type="list">
      <formula1>='Entrada de Dados'!$A$6:$A$196</formula1>
    </dataValidation>
    <dataValidation sqref="G391" showDropDown="0" showInputMessage="0" showErrorMessage="1" allowBlank="1" errorTitle="Inválido" error="Não pode ser negativo." type="decimal" errorStyle="stop" operator="greaterThanOrEqual">
      <formula1>0</formula1>
    </dataValidation>
    <dataValidation sqref="H391" showDropDown="0" showInputMessage="0" showErrorMessage="1" allowBlank="1" errorTitle="Rejeição maior que o apresentado" error="A rejeição não pode ser maior que a quantidade apresentada." type="custom" errorStyle="stop">
      <formula1>AND(H391&gt;=0,H391&lt;=G391)</formula1>
    </dataValidation>
    <dataValidation sqref="A392" showDropDown="0" showInputMessage="0" showErrorMessage="1" allowBlank="1" errorTitle="Número de recebimento inválido" error="Escolha um número de recebimento já lançado na seção 1." type="list">
      <formula1>=$A$7:$A$56</formula1>
    </dataValidation>
    <dataValidation sqref="D392" showDropDown="0" showInputMessage="0" showErrorMessage="1" allowBlank="1" errorTitle="Código não cadastrado" error="Escolha um código de escola da lista." type="list">
      <formula1>='Entrada de Dados'!$A$6:$A$196</formula1>
    </dataValidation>
    <dataValidation sqref="G392" showDropDown="0" showInputMessage="0" showErrorMessage="1" allowBlank="1" errorTitle="Inválido" error="Não pode ser negativo." type="decimal" errorStyle="stop" operator="greaterThanOrEqual">
      <formula1>0</formula1>
    </dataValidation>
    <dataValidation sqref="H392" showDropDown="0" showInputMessage="0" showErrorMessage="1" allowBlank="1" errorTitle="Rejeição maior que o apresentado" error="A rejeição não pode ser maior que a quantidade apresentada." type="custom" errorStyle="stop">
      <formula1>AND(H392&gt;=0,H392&lt;=G392)</formula1>
    </dataValidation>
    <dataValidation sqref="A393" showDropDown="0" showInputMessage="0" showErrorMessage="1" allowBlank="1" errorTitle="Número de recebimento inválido" error="Escolha um número de recebimento já lançado na seção 1." type="list">
      <formula1>=$A$7:$A$56</formula1>
    </dataValidation>
    <dataValidation sqref="D393" showDropDown="0" showInputMessage="0" showErrorMessage="1" allowBlank="1" errorTitle="Código não cadastrado" error="Escolha um código de escola da lista." type="list">
      <formula1>='Entrada de Dados'!$A$6:$A$196</formula1>
    </dataValidation>
    <dataValidation sqref="G393" showDropDown="0" showInputMessage="0" showErrorMessage="1" allowBlank="1" errorTitle="Inválido" error="Não pode ser negativo." type="decimal" errorStyle="stop" operator="greaterThanOrEqual">
      <formula1>0</formula1>
    </dataValidation>
    <dataValidation sqref="H393" showDropDown="0" showInputMessage="0" showErrorMessage="1" allowBlank="1" errorTitle="Rejeição maior que o apresentado" error="A rejeição não pode ser maior que a quantidade apresentada." type="custom" errorStyle="stop">
      <formula1>AND(H393&gt;=0,H393&lt;=G393)</formula1>
    </dataValidation>
    <dataValidation sqref="A394" showDropDown="0" showInputMessage="0" showErrorMessage="1" allowBlank="1" errorTitle="Número de recebimento inválido" error="Escolha um número de recebimento já lançado na seção 1." type="list">
      <formula1>=$A$7:$A$56</formula1>
    </dataValidation>
    <dataValidation sqref="D394" showDropDown="0" showInputMessage="0" showErrorMessage="1" allowBlank="1" errorTitle="Código não cadastrado" error="Escolha um código de escola da lista." type="list">
      <formula1>='Entrada de Dados'!$A$6:$A$196</formula1>
    </dataValidation>
    <dataValidation sqref="G394" showDropDown="0" showInputMessage="0" showErrorMessage="1" allowBlank="1" errorTitle="Inválido" error="Não pode ser negativo." type="decimal" errorStyle="stop" operator="greaterThanOrEqual">
      <formula1>0</formula1>
    </dataValidation>
    <dataValidation sqref="H394" showDropDown="0" showInputMessage="0" showErrorMessage="1" allowBlank="1" errorTitle="Rejeição maior que o apresentado" error="A rejeição não pode ser maior que a quantidade apresentada." type="custom" errorStyle="stop">
      <formula1>AND(H394&gt;=0,H394&lt;=G394)</formula1>
    </dataValidation>
    <dataValidation sqref="A395" showDropDown="0" showInputMessage="0" showErrorMessage="1" allowBlank="1" errorTitle="Número de recebimento inválido" error="Escolha um número de recebimento já lançado na seção 1." type="list">
      <formula1>=$A$7:$A$56</formula1>
    </dataValidation>
    <dataValidation sqref="D395" showDropDown="0" showInputMessage="0" showErrorMessage="1" allowBlank="1" errorTitle="Código não cadastrado" error="Escolha um código de escola da lista." type="list">
      <formula1>='Entrada de Dados'!$A$6:$A$196</formula1>
    </dataValidation>
    <dataValidation sqref="G395" showDropDown="0" showInputMessage="0" showErrorMessage="1" allowBlank="1" errorTitle="Inválido" error="Não pode ser negativo." type="decimal" errorStyle="stop" operator="greaterThanOrEqual">
      <formula1>0</formula1>
    </dataValidation>
    <dataValidation sqref="H395" showDropDown="0" showInputMessage="0" showErrorMessage="1" allowBlank="1" errorTitle="Rejeição maior que o apresentado" error="A rejeição não pode ser maior que a quantidade apresentada." type="custom" errorStyle="stop">
      <formula1>AND(H395&gt;=0,H395&lt;=G395)</formula1>
    </dataValidation>
    <dataValidation sqref="A396" showDropDown="0" showInputMessage="0" showErrorMessage="1" allowBlank="1" errorTitle="Número de recebimento inválido" error="Escolha um número de recebimento já lançado na seção 1." type="list">
      <formula1>=$A$7:$A$56</formula1>
    </dataValidation>
    <dataValidation sqref="D396" showDropDown="0" showInputMessage="0" showErrorMessage="1" allowBlank="1" errorTitle="Código não cadastrado" error="Escolha um código de escola da lista." type="list">
      <formula1>='Entrada de Dados'!$A$6:$A$196</formula1>
    </dataValidation>
    <dataValidation sqref="G396" showDropDown="0" showInputMessage="0" showErrorMessage="1" allowBlank="1" errorTitle="Inválido" error="Não pode ser negativo." type="decimal" errorStyle="stop" operator="greaterThanOrEqual">
      <formula1>0</formula1>
    </dataValidation>
    <dataValidation sqref="H396" showDropDown="0" showInputMessage="0" showErrorMessage="1" allowBlank="1" errorTitle="Rejeição maior que o apresentado" error="A rejeição não pode ser maior que a quantidade apresentada." type="custom" errorStyle="stop">
      <formula1>AND(H396&gt;=0,H396&lt;=G396)</formula1>
    </dataValidation>
    <dataValidation sqref="A397" showDropDown="0" showInputMessage="0" showErrorMessage="1" allowBlank="1" errorTitle="Número de recebimento inválido" error="Escolha um número de recebimento já lançado na seção 1." type="list">
      <formula1>=$A$7:$A$56</formula1>
    </dataValidation>
    <dataValidation sqref="D397" showDropDown="0" showInputMessage="0" showErrorMessage="1" allowBlank="1" errorTitle="Código não cadastrado" error="Escolha um código de escola da lista." type="list">
      <formula1>='Entrada de Dados'!$A$6:$A$196</formula1>
    </dataValidation>
    <dataValidation sqref="G397" showDropDown="0" showInputMessage="0" showErrorMessage="1" allowBlank="1" errorTitle="Inválido" error="Não pode ser negativo." type="decimal" errorStyle="stop" operator="greaterThanOrEqual">
      <formula1>0</formula1>
    </dataValidation>
    <dataValidation sqref="H397" showDropDown="0" showInputMessage="0" showErrorMessage="1" allowBlank="1" errorTitle="Rejeição maior que o apresentado" error="A rejeição não pode ser maior que a quantidade apresentada." type="custom" errorStyle="stop">
      <formula1>AND(H397&gt;=0,H397&lt;=G397)</formula1>
    </dataValidation>
    <dataValidation sqref="A398" showDropDown="0" showInputMessage="0" showErrorMessage="1" allowBlank="1" errorTitle="Número de recebimento inválido" error="Escolha um número de recebimento já lançado na seção 1." type="list">
      <formula1>=$A$7:$A$56</formula1>
    </dataValidation>
    <dataValidation sqref="D398" showDropDown="0" showInputMessage="0" showErrorMessage="1" allowBlank="1" errorTitle="Código não cadastrado" error="Escolha um código de escola da lista." type="list">
      <formula1>='Entrada de Dados'!$A$6:$A$196</formula1>
    </dataValidation>
    <dataValidation sqref="G398" showDropDown="0" showInputMessage="0" showErrorMessage="1" allowBlank="1" errorTitle="Inválido" error="Não pode ser negativo." type="decimal" errorStyle="stop" operator="greaterThanOrEqual">
      <formula1>0</formula1>
    </dataValidation>
    <dataValidation sqref="H398" showDropDown="0" showInputMessage="0" showErrorMessage="1" allowBlank="1" errorTitle="Rejeição maior que o apresentado" error="A rejeição não pode ser maior que a quantidade apresentada." type="custom" errorStyle="stop">
      <formula1>AND(H398&gt;=0,H398&lt;=G398)</formula1>
    </dataValidation>
    <dataValidation sqref="A399" showDropDown="0" showInputMessage="0" showErrorMessage="1" allowBlank="1" errorTitle="Número de recebimento inválido" error="Escolha um número de recebimento já lançado na seção 1." type="list">
      <formula1>=$A$7:$A$56</formula1>
    </dataValidation>
    <dataValidation sqref="D399" showDropDown="0" showInputMessage="0" showErrorMessage="1" allowBlank="1" errorTitle="Código não cadastrado" error="Escolha um código de escola da lista." type="list">
      <formula1>='Entrada de Dados'!$A$6:$A$196</formula1>
    </dataValidation>
    <dataValidation sqref="G399" showDropDown="0" showInputMessage="0" showErrorMessage="1" allowBlank="1" errorTitle="Inválido" error="Não pode ser negativo." type="decimal" errorStyle="stop" operator="greaterThanOrEqual">
      <formula1>0</formula1>
    </dataValidation>
    <dataValidation sqref="H399" showDropDown="0" showInputMessage="0" showErrorMessage="1" allowBlank="1" errorTitle="Rejeição maior que o apresentado" error="A rejeição não pode ser maior que a quantidade apresentada." type="custom" errorStyle="stop">
      <formula1>AND(H399&gt;=0,H399&lt;=G399)</formula1>
    </dataValidation>
    <dataValidation sqref="A400" showDropDown="0" showInputMessage="0" showErrorMessage="1" allowBlank="1" errorTitle="Número de recebimento inválido" error="Escolha um número de recebimento já lançado na seção 1." type="list">
      <formula1>=$A$7:$A$56</formula1>
    </dataValidation>
    <dataValidation sqref="D400" showDropDown="0" showInputMessage="0" showErrorMessage="1" allowBlank="1" errorTitle="Código não cadastrado" error="Escolha um código de escola da lista." type="list">
      <formula1>='Entrada de Dados'!$A$6:$A$196</formula1>
    </dataValidation>
    <dataValidation sqref="G400" showDropDown="0" showInputMessage="0" showErrorMessage="1" allowBlank="1" errorTitle="Inválido" error="Não pode ser negativo." type="decimal" errorStyle="stop" operator="greaterThanOrEqual">
      <formula1>0</formula1>
    </dataValidation>
    <dataValidation sqref="H400" showDropDown="0" showInputMessage="0" showErrorMessage="1" allowBlank="1" errorTitle="Rejeição maior que o apresentado" error="A rejeição não pode ser maior que a quantidade apresentada." type="custom" errorStyle="stop">
      <formula1>AND(H400&gt;=0,H400&lt;=G400)</formula1>
    </dataValidation>
    <dataValidation sqref="A401" showDropDown="0" showInputMessage="0" showErrorMessage="1" allowBlank="1" errorTitle="Número de recebimento inválido" error="Escolha um número de recebimento já lançado na seção 1." type="list">
      <formula1>=$A$7:$A$56</formula1>
    </dataValidation>
    <dataValidation sqref="D401" showDropDown="0" showInputMessage="0" showErrorMessage="1" allowBlank="1" errorTitle="Código não cadastrado" error="Escolha um código de escola da lista." type="list">
      <formula1>='Entrada de Dados'!$A$6:$A$196</formula1>
    </dataValidation>
    <dataValidation sqref="G401" showDropDown="0" showInputMessage="0" showErrorMessage="1" allowBlank="1" errorTitle="Inválido" error="Não pode ser negativo." type="decimal" errorStyle="stop" operator="greaterThanOrEqual">
      <formula1>0</formula1>
    </dataValidation>
    <dataValidation sqref="H401" showDropDown="0" showInputMessage="0" showErrorMessage="1" allowBlank="1" errorTitle="Rejeição maior que o apresentado" error="A rejeição não pode ser maior que a quantidade apresentada." type="custom" errorStyle="stop">
      <formula1>AND(H401&gt;=0,H401&lt;=G401)</formula1>
    </dataValidation>
    <dataValidation sqref="A402" showDropDown="0" showInputMessage="0" showErrorMessage="1" allowBlank="1" errorTitle="Número de recebimento inválido" error="Escolha um número de recebimento já lançado na seção 1." type="list">
      <formula1>=$A$7:$A$56</formula1>
    </dataValidation>
    <dataValidation sqref="D402" showDropDown="0" showInputMessage="0" showErrorMessage="1" allowBlank="1" errorTitle="Código não cadastrado" error="Escolha um código de escola da lista." type="list">
      <formula1>='Entrada de Dados'!$A$6:$A$196</formula1>
    </dataValidation>
    <dataValidation sqref="G402" showDropDown="0" showInputMessage="0" showErrorMessage="1" allowBlank="1" errorTitle="Inválido" error="Não pode ser negativo." type="decimal" errorStyle="stop" operator="greaterThanOrEqual">
      <formula1>0</formula1>
    </dataValidation>
    <dataValidation sqref="H402" showDropDown="0" showInputMessage="0" showErrorMessage="1" allowBlank="1" errorTitle="Rejeição maior que o apresentado" error="A rejeição não pode ser maior que a quantidade apresentada." type="custom" errorStyle="stop">
      <formula1>AND(H402&gt;=0,H402&lt;=G402)</formula1>
    </dataValidation>
    <dataValidation sqref="A403" showDropDown="0" showInputMessage="0" showErrorMessage="1" allowBlank="1" errorTitle="Número de recebimento inválido" error="Escolha um número de recebimento já lançado na seção 1." type="list">
      <formula1>=$A$7:$A$56</formula1>
    </dataValidation>
    <dataValidation sqref="D403" showDropDown="0" showInputMessage="0" showErrorMessage="1" allowBlank="1" errorTitle="Código não cadastrado" error="Escolha um código de escola da lista." type="list">
      <formula1>='Entrada de Dados'!$A$6:$A$196</formula1>
    </dataValidation>
    <dataValidation sqref="G403" showDropDown="0" showInputMessage="0" showErrorMessage="1" allowBlank="1" errorTitle="Inválido" error="Não pode ser negativo." type="decimal" errorStyle="stop" operator="greaterThanOrEqual">
      <formula1>0</formula1>
    </dataValidation>
    <dataValidation sqref="H403" showDropDown="0" showInputMessage="0" showErrorMessage="1" allowBlank="1" errorTitle="Rejeição maior que o apresentado" error="A rejeição não pode ser maior que a quantidade apresentada." type="custom" errorStyle="stop">
      <formula1>AND(H403&gt;=0,H403&lt;=G403)</formula1>
    </dataValidation>
    <dataValidation sqref="A404" showDropDown="0" showInputMessage="0" showErrorMessage="1" allowBlank="1" errorTitle="Número de recebimento inválido" error="Escolha um número de recebimento já lançado na seção 1." type="list">
      <formula1>=$A$7:$A$56</formula1>
    </dataValidation>
    <dataValidation sqref="D404" showDropDown="0" showInputMessage="0" showErrorMessage="1" allowBlank="1" errorTitle="Código não cadastrado" error="Escolha um código de escola da lista." type="list">
      <formula1>='Entrada de Dados'!$A$6:$A$196</formula1>
    </dataValidation>
    <dataValidation sqref="G404" showDropDown="0" showInputMessage="0" showErrorMessage="1" allowBlank="1" errorTitle="Inválido" error="Não pode ser negativo." type="decimal" errorStyle="stop" operator="greaterThanOrEqual">
      <formula1>0</formula1>
    </dataValidation>
    <dataValidation sqref="H404" showDropDown="0" showInputMessage="0" showErrorMessage="1" allowBlank="1" errorTitle="Rejeição maior que o apresentado" error="A rejeição não pode ser maior que a quantidade apresentada." type="custom" errorStyle="stop">
      <formula1>AND(H404&gt;=0,H404&lt;=G404)</formula1>
    </dataValidation>
    <dataValidation sqref="A405" showDropDown="0" showInputMessage="0" showErrorMessage="1" allowBlank="1" errorTitle="Número de recebimento inválido" error="Escolha um número de recebimento já lançado na seção 1." type="list">
      <formula1>=$A$7:$A$56</formula1>
    </dataValidation>
    <dataValidation sqref="D405" showDropDown="0" showInputMessage="0" showErrorMessage="1" allowBlank="1" errorTitle="Código não cadastrado" error="Escolha um código de escola da lista." type="list">
      <formula1>='Entrada de Dados'!$A$6:$A$196</formula1>
    </dataValidation>
    <dataValidation sqref="G405" showDropDown="0" showInputMessage="0" showErrorMessage="1" allowBlank="1" errorTitle="Inválido" error="Não pode ser negativo." type="decimal" errorStyle="stop" operator="greaterThanOrEqual">
      <formula1>0</formula1>
    </dataValidation>
    <dataValidation sqref="H405" showDropDown="0" showInputMessage="0" showErrorMessage="1" allowBlank="1" errorTitle="Rejeição maior que o apresentado" error="A rejeição não pode ser maior que a quantidade apresentada." type="custom" errorStyle="stop">
      <formula1>AND(H405&gt;=0,H405&lt;=G405)</formula1>
    </dataValidation>
    <dataValidation sqref="A406" showDropDown="0" showInputMessage="0" showErrorMessage="1" allowBlank="1" errorTitle="Número de recebimento inválido" error="Escolha um número de recebimento já lançado na seção 1." type="list">
      <formula1>=$A$7:$A$56</formula1>
    </dataValidation>
    <dataValidation sqref="D406" showDropDown="0" showInputMessage="0" showErrorMessage="1" allowBlank="1" errorTitle="Código não cadastrado" error="Escolha um código de escola da lista." type="list">
      <formula1>='Entrada de Dados'!$A$6:$A$196</formula1>
    </dataValidation>
    <dataValidation sqref="G406" showDropDown="0" showInputMessage="0" showErrorMessage="1" allowBlank="1" errorTitle="Inválido" error="Não pode ser negativo." type="decimal" errorStyle="stop" operator="greaterThanOrEqual">
      <formula1>0</formula1>
    </dataValidation>
    <dataValidation sqref="H406" showDropDown="0" showInputMessage="0" showErrorMessage="1" allowBlank="1" errorTitle="Rejeição maior que o apresentado" error="A rejeição não pode ser maior que a quantidade apresentada." type="custom" errorStyle="stop">
      <formula1>AND(H406&gt;=0,H406&lt;=G406)</formula1>
    </dataValidation>
    <dataValidation sqref="A407" showDropDown="0" showInputMessage="0" showErrorMessage="1" allowBlank="1" errorTitle="Número de recebimento inválido" error="Escolha um número de recebimento já lançado na seção 1." type="list">
      <formula1>=$A$7:$A$56</formula1>
    </dataValidation>
    <dataValidation sqref="D407" showDropDown="0" showInputMessage="0" showErrorMessage="1" allowBlank="1" errorTitle="Código não cadastrado" error="Escolha um código de escola da lista." type="list">
      <formula1>='Entrada de Dados'!$A$6:$A$196</formula1>
    </dataValidation>
    <dataValidation sqref="G407" showDropDown="0" showInputMessage="0" showErrorMessage="1" allowBlank="1" errorTitle="Inválido" error="Não pode ser negativo." type="decimal" errorStyle="stop" operator="greaterThanOrEqual">
      <formula1>0</formula1>
    </dataValidation>
    <dataValidation sqref="H407" showDropDown="0" showInputMessage="0" showErrorMessage="1" allowBlank="1" errorTitle="Rejeição maior que o apresentado" error="A rejeição não pode ser maior que a quantidade apresentada." type="custom" errorStyle="stop">
      <formula1>AND(H407&gt;=0,H407&lt;=G407)</formula1>
    </dataValidation>
    <dataValidation sqref="A408" showDropDown="0" showInputMessage="0" showErrorMessage="1" allowBlank="1" errorTitle="Número de recebimento inválido" error="Escolha um número de recebimento já lançado na seção 1." type="list">
      <formula1>=$A$7:$A$56</formula1>
    </dataValidation>
    <dataValidation sqref="D408" showDropDown="0" showInputMessage="0" showErrorMessage="1" allowBlank="1" errorTitle="Código não cadastrado" error="Escolha um código de escola da lista." type="list">
      <formula1>='Entrada de Dados'!$A$6:$A$196</formula1>
    </dataValidation>
    <dataValidation sqref="G408" showDropDown="0" showInputMessage="0" showErrorMessage="1" allowBlank="1" errorTitle="Inválido" error="Não pode ser negativo." type="decimal" errorStyle="stop" operator="greaterThanOrEqual">
      <formula1>0</formula1>
    </dataValidation>
    <dataValidation sqref="H408" showDropDown="0" showInputMessage="0" showErrorMessage="1" allowBlank="1" errorTitle="Rejeição maior que o apresentado" error="A rejeição não pode ser maior que a quantidade apresentada." type="custom" errorStyle="stop">
      <formula1>AND(H408&gt;=0,H408&lt;=G408)</formula1>
    </dataValidation>
    <dataValidation sqref="A409" showDropDown="0" showInputMessage="0" showErrorMessage="1" allowBlank="1" errorTitle="Número de recebimento inválido" error="Escolha um número de recebimento já lançado na seção 1." type="list">
      <formula1>=$A$7:$A$56</formula1>
    </dataValidation>
    <dataValidation sqref="D409" showDropDown="0" showInputMessage="0" showErrorMessage="1" allowBlank="1" errorTitle="Código não cadastrado" error="Escolha um código de escola da lista." type="list">
      <formula1>='Entrada de Dados'!$A$6:$A$196</formula1>
    </dataValidation>
    <dataValidation sqref="G409" showDropDown="0" showInputMessage="0" showErrorMessage="1" allowBlank="1" errorTitle="Inválido" error="Não pode ser negativo." type="decimal" errorStyle="stop" operator="greaterThanOrEqual">
      <formula1>0</formula1>
    </dataValidation>
    <dataValidation sqref="H409" showDropDown="0" showInputMessage="0" showErrorMessage="1" allowBlank="1" errorTitle="Rejeição maior que o apresentado" error="A rejeição não pode ser maior que a quantidade apresentada." type="custom" errorStyle="stop">
      <formula1>AND(H409&gt;=0,H409&lt;=G409)</formula1>
    </dataValidation>
    <dataValidation sqref="A410" showDropDown="0" showInputMessage="0" showErrorMessage="1" allowBlank="1" errorTitle="Número de recebimento inválido" error="Escolha um número de recebimento já lançado na seção 1." type="list">
      <formula1>=$A$7:$A$56</formula1>
    </dataValidation>
    <dataValidation sqref="D410" showDropDown="0" showInputMessage="0" showErrorMessage="1" allowBlank="1" errorTitle="Código não cadastrado" error="Escolha um código de escola da lista." type="list">
      <formula1>='Entrada de Dados'!$A$6:$A$196</formula1>
    </dataValidation>
    <dataValidation sqref="G410" showDropDown="0" showInputMessage="0" showErrorMessage="1" allowBlank="1" errorTitle="Inválido" error="Não pode ser negativo." type="decimal" errorStyle="stop" operator="greaterThanOrEqual">
      <formula1>0</formula1>
    </dataValidation>
    <dataValidation sqref="H410" showDropDown="0" showInputMessage="0" showErrorMessage="1" allowBlank="1" errorTitle="Rejeição maior que o apresentado" error="A rejeição não pode ser maior que a quantidade apresentada." type="custom" errorStyle="stop">
      <formula1>AND(H410&gt;=0,H410&lt;=G410)</formula1>
    </dataValidation>
    <dataValidation sqref="A411" showDropDown="0" showInputMessage="0" showErrorMessage="1" allowBlank="1" errorTitle="Número de recebimento inválido" error="Escolha um número de recebimento já lançado na seção 1." type="list">
      <formula1>=$A$7:$A$56</formula1>
    </dataValidation>
    <dataValidation sqref="D411" showDropDown="0" showInputMessage="0" showErrorMessage="1" allowBlank="1" errorTitle="Código não cadastrado" error="Escolha um código de escola da lista." type="list">
      <formula1>='Entrada de Dados'!$A$6:$A$196</formula1>
    </dataValidation>
    <dataValidation sqref="G411" showDropDown="0" showInputMessage="0" showErrorMessage="1" allowBlank="1" errorTitle="Inválido" error="Não pode ser negativo." type="decimal" errorStyle="stop" operator="greaterThanOrEqual">
      <formula1>0</formula1>
    </dataValidation>
    <dataValidation sqref="H411" showDropDown="0" showInputMessage="0" showErrorMessage="1" allowBlank="1" errorTitle="Rejeição maior que o apresentado" error="A rejeição não pode ser maior que a quantidade apresentada." type="custom" errorStyle="stop">
      <formula1>AND(H411&gt;=0,H411&lt;=G411)</formula1>
    </dataValidation>
    <dataValidation sqref="A412" showDropDown="0" showInputMessage="0" showErrorMessage="1" allowBlank="1" errorTitle="Número de recebimento inválido" error="Escolha um número de recebimento já lançado na seção 1." type="list">
      <formula1>=$A$7:$A$56</formula1>
    </dataValidation>
    <dataValidation sqref="D412" showDropDown="0" showInputMessage="0" showErrorMessage="1" allowBlank="1" errorTitle="Código não cadastrado" error="Escolha um código de escola da lista." type="list">
      <formula1>='Entrada de Dados'!$A$6:$A$196</formula1>
    </dataValidation>
    <dataValidation sqref="G412" showDropDown="0" showInputMessage="0" showErrorMessage="1" allowBlank="1" errorTitle="Inválido" error="Não pode ser negativo." type="decimal" errorStyle="stop" operator="greaterThanOrEqual">
      <formula1>0</formula1>
    </dataValidation>
    <dataValidation sqref="H412" showDropDown="0" showInputMessage="0" showErrorMessage="1" allowBlank="1" errorTitle="Rejeição maior que o apresentado" error="A rejeição não pode ser maior que a quantidade apresentada." type="custom" errorStyle="stop">
      <formula1>AND(H412&gt;=0,H412&lt;=G412)</formula1>
    </dataValidation>
    <dataValidation sqref="A413" showDropDown="0" showInputMessage="0" showErrorMessage="1" allowBlank="1" errorTitle="Número de recebimento inválido" error="Escolha um número de recebimento já lançado na seção 1." type="list">
      <formula1>=$A$7:$A$56</formula1>
    </dataValidation>
    <dataValidation sqref="D413" showDropDown="0" showInputMessage="0" showErrorMessage="1" allowBlank="1" errorTitle="Código não cadastrado" error="Escolha um código de escola da lista." type="list">
      <formula1>='Entrada de Dados'!$A$6:$A$196</formula1>
    </dataValidation>
    <dataValidation sqref="G413" showDropDown="0" showInputMessage="0" showErrorMessage="1" allowBlank="1" errorTitle="Inválido" error="Não pode ser negativo." type="decimal" errorStyle="stop" operator="greaterThanOrEqual">
      <formula1>0</formula1>
    </dataValidation>
    <dataValidation sqref="H413" showDropDown="0" showInputMessage="0" showErrorMessage="1" allowBlank="1" errorTitle="Rejeição maior que o apresentado" error="A rejeição não pode ser maior que a quantidade apresentada." type="custom" errorStyle="stop">
      <formula1>AND(H413&gt;=0,H413&lt;=G413)</formula1>
    </dataValidation>
    <dataValidation sqref="A414" showDropDown="0" showInputMessage="0" showErrorMessage="1" allowBlank="1" errorTitle="Número de recebimento inválido" error="Escolha um número de recebimento já lançado na seção 1." type="list">
      <formula1>=$A$7:$A$56</formula1>
    </dataValidation>
    <dataValidation sqref="D414" showDropDown="0" showInputMessage="0" showErrorMessage="1" allowBlank="1" errorTitle="Código não cadastrado" error="Escolha um código de escola da lista." type="list">
      <formula1>='Entrada de Dados'!$A$6:$A$196</formula1>
    </dataValidation>
    <dataValidation sqref="G414" showDropDown="0" showInputMessage="0" showErrorMessage="1" allowBlank="1" errorTitle="Inválido" error="Não pode ser negativo." type="decimal" errorStyle="stop" operator="greaterThanOrEqual">
      <formula1>0</formula1>
    </dataValidation>
    <dataValidation sqref="H414" showDropDown="0" showInputMessage="0" showErrorMessage="1" allowBlank="1" errorTitle="Rejeição maior que o apresentado" error="A rejeição não pode ser maior que a quantidade apresentada." type="custom" errorStyle="stop">
      <formula1>AND(H414&gt;=0,H414&lt;=G414)</formula1>
    </dataValidation>
    <dataValidation sqref="A415" showDropDown="0" showInputMessage="0" showErrorMessage="1" allowBlank="1" errorTitle="Número de recebimento inválido" error="Escolha um número de recebimento já lançado na seção 1." type="list">
      <formula1>=$A$7:$A$56</formula1>
    </dataValidation>
    <dataValidation sqref="D415" showDropDown="0" showInputMessage="0" showErrorMessage="1" allowBlank="1" errorTitle="Código não cadastrado" error="Escolha um código de escola da lista." type="list">
      <formula1>='Entrada de Dados'!$A$6:$A$196</formula1>
    </dataValidation>
    <dataValidation sqref="G415" showDropDown="0" showInputMessage="0" showErrorMessage="1" allowBlank="1" errorTitle="Inválido" error="Não pode ser negativo." type="decimal" errorStyle="stop" operator="greaterThanOrEqual">
      <formula1>0</formula1>
    </dataValidation>
    <dataValidation sqref="H415" showDropDown="0" showInputMessage="0" showErrorMessage="1" allowBlank="1" errorTitle="Rejeição maior que o apresentado" error="A rejeição não pode ser maior que a quantidade apresentada." type="custom" errorStyle="stop">
      <formula1>AND(H415&gt;=0,H415&lt;=G415)</formula1>
    </dataValidation>
    <dataValidation sqref="A416" showDropDown="0" showInputMessage="0" showErrorMessage="1" allowBlank="1" errorTitle="Número de recebimento inválido" error="Escolha um número de recebimento já lançado na seção 1." type="list">
      <formula1>=$A$7:$A$56</formula1>
    </dataValidation>
    <dataValidation sqref="D416" showDropDown="0" showInputMessage="0" showErrorMessage="1" allowBlank="1" errorTitle="Código não cadastrado" error="Escolha um código de escola da lista." type="list">
      <formula1>='Entrada de Dados'!$A$6:$A$196</formula1>
    </dataValidation>
    <dataValidation sqref="G416" showDropDown="0" showInputMessage="0" showErrorMessage="1" allowBlank="1" errorTitle="Inválido" error="Não pode ser negativo." type="decimal" errorStyle="stop" operator="greaterThanOrEqual">
      <formula1>0</formula1>
    </dataValidation>
    <dataValidation sqref="H416" showDropDown="0" showInputMessage="0" showErrorMessage="1" allowBlank="1" errorTitle="Rejeição maior que o apresentado" error="A rejeição não pode ser maior que a quantidade apresentada." type="custom" errorStyle="stop">
      <formula1>AND(H416&gt;=0,H416&lt;=G416)</formula1>
    </dataValidation>
    <dataValidation sqref="A417" showDropDown="0" showInputMessage="0" showErrorMessage="1" allowBlank="1" errorTitle="Número de recebimento inválido" error="Escolha um número de recebimento já lançado na seção 1." type="list">
      <formula1>=$A$7:$A$56</formula1>
    </dataValidation>
    <dataValidation sqref="D417" showDropDown="0" showInputMessage="0" showErrorMessage="1" allowBlank="1" errorTitle="Código não cadastrado" error="Escolha um código de escola da lista." type="list">
      <formula1>='Entrada de Dados'!$A$6:$A$196</formula1>
    </dataValidation>
    <dataValidation sqref="G417" showDropDown="0" showInputMessage="0" showErrorMessage="1" allowBlank="1" errorTitle="Inválido" error="Não pode ser negativo." type="decimal" errorStyle="stop" operator="greaterThanOrEqual">
      <formula1>0</formula1>
    </dataValidation>
    <dataValidation sqref="H417" showDropDown="0" showInputMessage="0" showErrorMessage="1" allowBlank="1" errorTitle="Rejeição maior que o apresentado" error="A rejeição não pode ser maior que a quantidade apresentada." type="custom" errorStyle="stop">
      <formula1>AND(H417&gt;=0,H417&lt;=G417)</formula1>
    </dataValidation>
    <dataValidation sqref="A418" showDropDown="0" showInputMessage="0" showErrorMessage="1" allowBlank="1" errorTitle="Número de recebimento inválido" error="Escolha um número de recebimento já lançado na seção 1." type="list">
      <formula1>=$A$7:$A$56</formula1>
    </dataValidation>
    <dataValidation sqref="D418" showDropDown="0" showInputMessage="0" showErrorMessage="1" allowBlank="1" errorTitle="Código não cadastrado" error="Escolha um código de escola da lista." type="list">
      <formula1>='Entrada de Dados'!$A$6:$A$196</formula1>
    </dataValidation>
    <dataValidation sqref="G418" showDropDown="0" showInputMessage="0" showErrorMessage="1" allowBlank="1" errorTitle="Inválido" error="Não pode ser negativo." type="decimal" errorStyle="stop" operator="greaterThanOrEqual">
      <formula1>0</formula1>
    </dataValidation>
    <dataValidation sqref="H418" showDropDown="0" showInputMessage="0" showErrorMessage="1" allowBlank="1" errorTitle="Rejeição maior que o apresentado" error="A rejeição não pode ser maior que a quantidade apresentada." type="custom" errorStyle="stop">
      <formula1>AND(H418&gt;=0,H418&lt;=G418)</formula1>
    </dataValidation>
    <dataValidation sqref="A419" showDropDown="0" showInputMessage="0" showErrorMessage="1" allowBlank="1" errorTitle="Número de recebimento inválido" error="Escolha um número de recebimento já lançado na seção 1." type="list">
      <formula1>=$A$7:$A$56</formula1>
    </dataValidation>
    <dataValidation sqref="D419" showDropDown="0" showInputMessage="0" showErrorMessage="1" allowBlank="1" errorTitle="Código não cadastrado" error="Escolha um código de escola da lista." type="list">
      <formula1>='Entrada de Dados'!$A$6:$A$196</formula1>
    </dataValidation>
    <dataValidation sqref="G419" showDropDown="0" showInputMessage="0" showErrorMessage="1" allowBlank="1" errorTitle="Inválido" error="Não pode ser negativo." type="decimal" errorStyle="stop" operator="greaterThanOrEqual">
      <formula1>0</formula1>
    </dataValidation>
    <dataValidation sqref="H419" showDropDown="0" showInputMessage="0" showErrorMessage="1" allowBlank="1" errorTitle="Rejeição maior que o apresentado" error="A rejeição não pode ser maior que a quantidade apresentada." type="custom" errorStyle="stop">
      <formula1>AND(H419&gt;=0,H419&lt;=G419)</formula1>
    </dataValidation>
    <dataValidation sqref="A420" showDropDown="0" showInputMessage="0" showErrorMessage="1" allowBlank="1" errorTitle="Número de recebimento inválido" error="Escolha um número de recebimento já lançado na seção 1." type="list">
      <formula1>=$A$7:$A$56</formula1>
    </dataValidation>
    <dataValidation sqref="D420" showDropDown="0" showInputMessage="0" showErrorMessage="1" allowBlank="1" errorTitle="Código não cadastrado" error="Escolha um código de escola da lista." type="list">
      <formula1>='Entrada de Dados'!$A$6:$A$196</formula1>
    </dataValidation>
    <dataValidation sqref="G420" showDropDown="0" showInputMessage="0" showErrorMessage="1" allowBlank="1" errorTitle="Inválido" error="Não pode ser negativo." type="decimal" errorStyle="stop" operator="greaterThanOrEqual">
      <formula1>0</formula1>
    </dataValidation>
    <dataValidation sqref="H420" showDropDown="0" showInputMessage="0" showErrorMessage="1" allowBlank="1" errorTitle="Rejeição maior que o apresentado" error="A rejeição não pode ser maior que a quantidade apresentada." type="custom" errorStyle="stop">
      <formula1>AND(H420&gt;=0,H420&lt;=G420)</formula1>
    </dataValidation>
    <dataValidation sqref="A421" showDropDown="0" showInputMessage="0" showErrorMessage="1" allowBlank="1" errorTitle="Número de recebimento inválido" error="Escolha um número de recebimento já lançado na seção 1." type="list">
      <formula1>=$A$7:$A$56</formula1>
    </dataValidation>
    <dataValidation sqref="D421" showDropDown="0" showInputMessage="0" showErrorMessage="1" allowBlank="1" errorTitle="Código não cadastrado" error="Escolha um código de escola da lista." type="list">
      <formula1>='Entrada de Dados'!$A$6:$A$196</formula1>
    </dataValidation>
    <dataValidation sqref="G421" showDropDown="0" showInputMessage="0" showErrorMessage="1" allowBlank="1" errorTitle="Inválido" error="Não pode ser negativo." type="decimal" errorStyle="stop" operator="greaterThanOrEqual">
      <formula1>0</formula1>
    </dataValidation>
    <dataValidation sqref="H421" showDropDown="0" showInputMessage="0" showErrorMessage="1" allowBlank="1" errorTitle="Rejeição maior que o apresentado" error="A rejeição não pode ser maior que a quantidade apresentada." type="custom" errorStyle="stop">
      <formula1>AND(H421&gt;=0,H421&lt;=G421)</formula1>
    </dataValidation>
    <dataValidation sqref="A422" showDropDown="0" showInputMessage="0" showErrorMessage="1" allowBlank="1" errorTitle="Número de recebimento inválido" error="Escolha um número de recebimento já lançado na seção 1." type="list">
      <formula1>=$A$7:$A$56</formula1>
    </dataValidation>
    <dataValidation sqref="D422" showDropDown="0" showInputMessage="0" showErrorMessage="1" allowBlank="1" errorTitle="Código não cadastrado" error="Escolha um código de escola da lista." type="list">
      <formula1>='Entrada de Dados'!$A$6:$A$196</formula1>
    </dataValidation>
    <dataValidation sqref="G422" showDropDown="0" showInputMessage="0" showErrorMessage="1" allowBlank="1" errorTitle="Inválido" error="Não pode ser negativo." type="decimal" errorStyle="stop" operator="greaterThanOrEqual">
      <formula1>0</formula1>
    </dataValidation>
    <dataValidation sqref="H422" showDropDown="0" showInputMessage="0" showErrorMessage="1" allowBlank="1" errorTitle="Rejeição maior que o apresentado" error="A rejeição não pode ser maior que a quantidade apresentada." type="custom" errorStyle="stop">
      <formula1>AND(H422&gt;=0,H422&lt;=G422)</formula1>
    </dataValidation>
    <dataValidation sqref="A423" showDropDown="0" showInputMessage="0" showErrorMessage="1" allowBlank="1" errorTitle="Número de recebimento inválido" error="Escolha um número de recebimento já lançado na seção 1." type="list">
      <formula1>=$A$7:$A$56</formula1>
    </dataValidation>
    <dataValidation sqref="D423" showDropDown="0" showInputMessage="0" showErrorMessage="1" allowBlank="1" errorTitle="Código não cadastrado" error="Escolha um código de escola da lista." type="list">
      <formula1>='Entrada de Dados'!$A$6:$A$196</formula1>
    </dataValidation>
    <dataValidation sqref="G423" showDropDown="0" showInputMessage="0" showErrorMessage="1" allowBlank="1" errorTitle="Inválido" error="Não pode ser negativo." type="decimal" errorStyle="stop" operator="greaterThanOrEqual">
      <formula1>0</formula1>
    </dataValidation>
    <dataValidation sqref="H423" showDropDown="0" showInputMessage="0" showErrorMessage="1" allowBlank="1" errorTitle="Rejeição maior que o apresentado" error="A rejeição não pode ser maior que a quantidade apresentada." type="custom" errorStyle="stop">
      <formula1>AND(H423&gt;=0,H423&lt;=G423)</formula1>
    </dataValidation>
    <dataValidation sqref="A424" showDropDown="0" showInputMessage="0" showErrorMessage="1" allowBlank="1" errorTitle="Número de recebimento inválido" error="Escolha um número de recebimento já lançado na seção 1." type="list">
      <formula1>=$A$7:$A$56</formula1>
    </dataValidation>
    <dataValidation sqref="D424" showDropDown="0" showInputMessage="0" showErrorMessage="1" allowBlank="1" errorTitle="Código não cadastrado" error="Escolha um código de escola da lista." type="list">
      <formula1>='Entrada de Dados'!$A$6:$A$196</formula1>
    </dataValidation>
    <dataValidation sqref="G424" showDropDown="0" showInputMessage="0" showErrorMessage="1" allowBlank="1" errorTitle="Inválido" error="Não pode ser negativo." type="decimal" errorStyle="stop" operator="greaterThanOrEqual">
      <formula1>0</formula1>
    </dataValidation>
    <dataValidation sqref="H424" showDropDown="0" showInputMessage="0" showErrorMessage="1" allowBlank="1" errorTitle="Rejeição maior que o apresentado" error="A rejeição não pode ser maior que a quantidade apresentada." type="custom" errorStyle="stop">
      <formula1>AND(H424&gt;=0,H424&lt;=G424)</formula1>
    </dataValidation>
    <dataValidation sqref="A425" showDropDown="0" showInputMessage="0" showErrorMessage="1" allowBlank="1" errorTitle="Número de recebimento inválido" error="Escolha um número de recebimento já lançado na seção 1." type="list">
      <formula1>=$A$7:$A$56</formula1>
    </dataValidation>
    <dataValidation sqref="D425" showDropDown="0" showInputMessage="0" showErrorMessage="1" allowBlank="1" errorTitle="Código não cadastrado" error="Escolha um código de escola da lista." type="list">
      <formula1>='Entrada de Dados'!$A$6:$A$196</formula1>
    </dataValidation>
    <dataValidation sqref="G425" showDropDown="0" showInputMessage="0" showErrorMessage="1" allowBlank="1" errorTitle="Inválido" error="Não pode ser negativo." type="decimal" errorStyle="stop" operator="greaterThanOrEqual">
      <formula1>0</formula1>
    </dataValidation>
    <dataValidation sqref="H425" showDropDown="0" showInputMessage="0" showErrorMessage="1" allowBlank="1" errorTitle="Rejeição maior que o apresentado" error="A rejeição não pode ser maior que a quantidade apresentada." type="custom" errorStyle="stop">
      <formula1>AND(H425&gt;=0,H425&lt;=G425)</formula1>
    </dataValidation>
    <dataValidation sqref="A426" showDropDown="0" showInputMessage="0" showErrorMessage="1" allowBlank="1" errorTitle="Número de recebimento inválido" error="Escolha um número de recebimento já lançado na seção 1." type="list">
      <formula1>=$A$7:$A$56</formula1>
    </dataValidation>
    <dataValidation sqref="D426" showDropDown="0" showInputMessage="0" showErrorMessage="1" allowBlank="1" errorTitle="Código não cadastrado" error="Escolha um código de escola da lista." type="list">
      <formula1>='Entrada de Dados'!$A$6:$A$196</formula1>
    </dataValidation>
    <dataValidation sqref="G426" showDropDown="0" showInputMessage="0" showErrorMessage="1" allowBlank="1" errorTitle="Inválido" error="Não pode ser negativo." type="decimal" errorStyle="stop" operator="greaterThanOrEqual">
      <formula1>0</formula1>
    </dataValidation>
    <dataValidation sqref="H426" showDropDown="0" showInputMessage="0" showErrorMessage="1" allowBlank="1" errorTitle="Rejeição maior que o apresentado" error="A rejeição não pode ser maior que a quantidade apresentada." type="custom" errorStyle="stop">
      <formula1>AND(H426&gt;=0,H426&lt;=G426)</formula1>
    </dataValidation>
    <dataValidation sqref="A427" showDropDown="0" showInputMessage="0" showErrorMessage="1" allowBlank="1" errorTitle="Número de recebimento inválido" error="Escolha um número de recebimento já lançado na seção 1." type="list">
      <formula1>=$A$7:$A$56</formula1>
    </dataValidation>
    <dataValidation sqref="D427" showDropDown="0" showInputMessage="0" showErrorMessage="1" allowBlank="1" errorTitle="Código não cadastrado" error="Escolha um código de escola da lista." type="list">
      <formula1>='Entrada de Dados'!$A$6:$A$196</formula1>
    </dataValidation>
    <dataValidation sqref="G427" showDropDown="0" showInputMessage="0" showErrorMessage="1" allowBlank="1" errorTitle="Inválido" error="Não pode ser negativo." type="decimal" errorStyle="stop" operator="greaterThanOrEqual">
      <formula1>0</formula1>
    </dataValidation>
    <dataValidation sqref="H427" showDropDown="0" showInputMessage="0" showErrorMessage="1" allowBlank="1" errorTitle="Rejeição maior que o apresentado" error="A rejeição não pode ser maior que a quantidade apresentada." type="custom" errorStyle="stop">
      <formula1>AND(H427&gt;=0,H427&lt;=G427)</formula1>
    </dataValidation>
    <dataValidation sqref="A428" showDropDown="0" showInputMessage="0" showErrorMessage="1" allowBlank="1" errorTitle="Número de recebimento inválido" error="Escolha um número de recebimento já lançado na seção 1." type="list">
      <formula1>=$A$7:$A$56</formula1>
    </dataValidation>
    <dataValidation sqref="D428" showDropDown="0" showInputMessage="0" showErrorMessage="1" allowBlank="1" errorTitle="Código não cadastrado" error="Escolha um código de escola da lista." type="list">
      <formula1>='Entrada de Dados'!$A$6:$A$196</formula1>
    </dataValidation>
    <dataValidation sqref="G428" showDropDown="0" showInputMessage="0" showErrorMessage="1" allowBlank="1" errorTitle="Inválido" error="Não pode ser negativo." type="decimal" errorStyle="stop" operator="greaterThanOrEqual">
      <formula1>0</formula1>
    </dataValidation>
    <dataValidation sqref="H428" showDropDown="0" showInputMessage="0" showErrorMessage="1" allowBlank="1" errorTitle="Rejeição maior que o apresentado" error="A rejeição não pode ser maior que a quantidade apresentada." type="custom" errorStyle="stop">
      <formula1>AND(H428&gt;=0,H428&lt;=G428)</formula1>
    </dataValidation>
    <dataValidation sqref="A429" showDropDown="0" showInputMessage="0" showErrorMessage="1" allowBlank="1" errorTitle="Número de recebimento inválido" error="Escolha um número de recebimento já lançado na seção 1." type="list">
      <formula1>=$A$7:$A$56</formula1>
    </dataValidation>
    <dataValidation sqref="D429" showDropDown="0" showInputMessage="0" showErrorMessage="1" allowBlank="1" errorTitle="Código não cadastrado" error="Escolha um código de escola da lista." type="list">
      <formula1>='Entrada de Dados'!$A$6:$A$196</formula1>
    </dataValidation>
    <dataValidation sqref="G429" showDropDown="0" showInputMessage="0" showErrorMessage="1" allowBlank="1" errorTitle="Inválido" error="Não pode ser negativo." type="decimal" errorStyle="stop" operator="greaterThanOrEqual">
      <formula1>0</formula1>
    </dataValidation>
    <dataValidation sqref="H429" showDropDown="0" showInputMessage="0" showErrorMessage="1" allowBlank="1" errorTitle="Rejeição maior que o apresentado" error="A rejeição não pode ser maior que a quantidade apresentada." type="custom" errorStyle="stop">
      <formula1>AND(H429&gt;=0,H429&lt;=G429)</formula1>
    </dataValidation>
    <dataValidation sqref="A430" showDropDown="0" showInputMessage="0" showErrorMessage="1" allowBlank="1" errorTitle="Número de recebimento inválido" error="Escolha um número de recebimento já lançado na seção 1." type="list">
      <formula1>=$A$7:$A$56</formula1>
    </dataValidation>
    <dataValidation sqref="D430" showDropDown="0" showInputMessage="0" showErrorMessage="1" allowBlank="1" errorTitle="Código não cadastrado" error="Escolha um código de escola da lista." type="list">
      <formula1>='Entrada de Dados'!$A$6:$A$196</formula1>
    </dataValidation>
    <dataValidation sqref="G430" showDropDown="0" showInputMessage="0" showErrorMessage="1" allowBlank="1" errorTitle="Inválido" error="Não pode ser negativo." type="decimal" errorStyle="stop" operator="greaterThanOrEqual">
      <formula1>0</formula1>
    </dataValidation>
    <dataValidation sqref="H430" showDropDown="0" showInputMessage="0" showErrorMessage="1" allowBlank="1" errorTitle="Rejeição maior que o apresentado" error="A rejeição não pode ser maior que a quantidade apresentada." type="custom" errorStyle="stop">
      <formula1>AND(H430&gt;=0,H430&lt;=G430)</formula1>
    </dataValidation>
    <dataValidation sqref="A431" showDropDown="0" showInputMessage="0" showErrorMessage="1" allowBlank="1" errorTitle="Número de recebimento inválido" error="Escolha um número de recebimento já lançado na seção 1." type="list">
      <formula1>=$A$7:$A$56</formula1>
    </dataValidation>
    <dataValidation sqref="D431" showDropDown="0" showInputMessage="0" showErrorMessage="1" allowBlank="1" errorTitle="Código não cadastrado" error="Escolha um código de escola da lista." type="list">
      <formula1>='Entrada de Dados'!$A$6:$A$196</formula1>
    </dataValidation>
    <dataValidation sqref="G431" showDropDown="0" showInputMessage="0" showErrorMessage="1" allowBlank="1" errorTitle="Inválido" error="Não pode ser negativo." type="decimal" errorStyle="stop" operator="greaterThanOrEqual">
      <formula1>0</formula1>
    </dataValidation>
    <dataValidation sqref="H431" showDropDown="0" showInputMessage="0" showErrorMessage="1" allowBlank="1" errorTitle="Rejeição maior que o apresentado" error="A rejeição não pode ser maior que a quantidade apresentada." type="custom" errorStyle="stop">
      <formula1>AND(H431&gt;=0,H431&lt;=G431)</formula1>
    </dataValidation>
    <dataValidation sqref="A432" showDropDown="0" showInputMessage="0" showErrorMessage="1" allowBlank="1" errorTitle="Número de recebimento inválido" error="Escolha um número de recebimento já lançado na seção 1." type="list">
      <formula1>=$A$7:$A$56</formula1>
    </dataValidation>
    <dataValidation sqref="D432" showDropDown="0" showInputMessage="0" showErrorMessage="1" allowBlank="1" errorTitle="Código não cadastrado" error="Escolha um código de escola da lista." type="list">
      <formula1>='Entrada de Dados'!$A$6:$A$196</formula1>
    </dataValidation>
    <dataValidation sqref="G432" showDropDown="0" showInputMessage="0" showErrorMessage="1" allowBlank="1" errorTitle="Inválido" error="Não pode ser negativo." type="decimal" errorStyle="stop" operator="greaterThanOrEqual">
      <formula1>0</formula1>
    </dataValidation>
    <dataValidation sqref="H432" showDropDown="0" showInputMessage="0" showErrorMessage="1" allowBlank="1" errorTitle="Rejeição maior que o apresentado" error="A rejeição não pode ser maior que a quantidade apresentada." type="custom" errorStyle="stop">
      <formula1>AND(H432&gt;=0,H432&lt;=G432)</formula1>
    </dataValidation>
    <dataValidation sqref="A433" showDropDown="0" showInputMessage="0" showErrorMessage="1" allowBlank="1" errorTitle="Número de recebimento inválido" error="Escolha um número de recebimento já lançado na seção 1." type="list">
      <formula1>=$A$7:$A$56</formula1>
    </dataValidation>
    <dataValidation sqref="D433" showDropDown="0" showInputMessage="0" showErrorMessage="1" allowBlank="1" errorTitle="Código não cadastrado" error="Escolha um código de escola da lista." type="list">
      <formula1>='Entrada de Dados'!$A$6:$A$196</formula1>
    </dataValidation>
    <dataValidation sqref="G433" showDropDown="0" showInputMessage="0" showErrorMessage="1" allowBlank="1" errorTitle="Inválido" error="Não pode ser negativo." type="decimal" errorStyle="stop" operator="greaterThanOrEqual">
      <formula1>0</formula1>
    </dataValidation>
    <dataValidation sqref="H433" showDropDown="0" showInputMessage="0" showErrorMessage="1" allowBlank="1" errorTitle="Rejeição maior que o apresentado" error="A rejeição não pode ser maior que a quantidade apresentada." type="custom" errorStyle="stop">
      <formula1>AND(H433&gt;=0,H433&lt;=G433)</formula1>
    </dataValidation>
    <dataValidation sqref="A434" showDropDown="0" showInputMessage="0" showErrorMessage="1" allowBlank="1" errorTitle="Número de recebimento inválido" error="Escolha um número de recebimento já lançado na seção 1." type="list">
      <formula1>=$A$7:$A$56</formula1>
    </dataValidation>
    <dataValidation sqref="D434" showDropDown="0" showInputMessage="0" showErrorMessage="1" allowBlank="1" errorTitle="Código não cadastrado" error="Escolha um código de escola da lista." type="list">
      <formula1>='Entrada de Dados'!$A$6:$A$196</formula1>
    </dataValidation>
    <dataValidation sqref="G434" showDropDown="0" showInputMessage="0" showErrorMessage="1" allowBlank="1" errorTitle="Inválido" error="Não pode ser negativo." type="decimal" errorStyle="stop" operator="greaterThanOrEqual">
      <formula1>0</formula1>
    </dataValidation>
    <dataValidation sqref="H434" showDropDown="0" showInputMessage="0" showErrorMessage="1" allowBlank="1" errorTitle="Rejeição maior que o apresentado" error="A rejeição não pode ser maior que a quantidade apresentada." type="custom" errorStyle="stop">
      <formula1>AND(H434&gt;=0,H434&lt;=G434)</formula1>
    </dataValidation>
    <dataValidation sqref="A435" showDropDown="0" showInputMessage="0" showErrorMessage="1" allowBlank="1" errorTitle="Número de recebimento inválido" error="Escolha um número de recebimento já lançado na seção 1." type="list">
      <formula1>=$A$7:$A$56</formula1>
    </dataValidation>
    <dataValidation sqref="D435" showDropDown="0" showInputMessage="0" showErrorMessage="1" allowBlank="1" errorTitle="Código não cadastrado" error="Escolha um código de escola da lista." type="list">
      <formula1>='Entrada de Dados'!$A$6:$A$196</formula1>
    </dataValidation>
    <dataValidation sqref="G435" showDropDown="0" showInputMessage="0" showErrorMessage="1" allowBlank="1" errorTitle="Inválido" error="Não pode ser negativo." type="decimal" errorStyle="stop" operator="greaterThanOrEqual">
      <formula1>0</formula1>
    </dataValidation>
    <dataValidation sqref="H435" showDropDown="0" showInputMessage="0" showErrorMessage="1" allowBlank="1" errorTitle="Rejeição maior que o apresentado" error="A rejeição não pode ser maior que a quantidade apresentada." type="custom" errorStyle="stop">
      <formula1>AND(H435&gt;=0,H435&lt;=G435)</formula1>
    </dataValidation>
    <dataValidation sqref="A436" showDropDown="0" showInputMessage="0" showErrorMessage="1" allowBlank="1" errorTitle="Número de recebimento inválido" error="Escolha um número de recebimento já lançado na seção 1." type="list">
      <formula1>=$A$7:$A$56</formula1>
    </dataValidation>
    <dataValidation sqref="D436" showDropDown="0" showInputMessage="0" showErrorMessage="1" allowBlank="1" errorTitle="Código não cadastrado" error="Escolha um código de escola da lista." type="list">
      <formula1>='Entrada de Dados'!$A$6:$A$196</formula1>
    </dataValidation>
    <dataValidation sqref="G436" showDropDown="0" showInputMessage="0" showErrorMessage="1" allowBlank="1" errorTitle="Inválido" error="Não pode ser negativo." type="decimal" errorStyle="stop" operator="greaterThanOrEqual">
      <formula1>0</formula1>
    </dataValidation>
    <dataValidation sqref="H436" showDropDown="0" showInputMessage="0" showErrorMessage="1" allowBlank="1" errorTitle="Rejeição maior que o apresentado" error="A rejeição não pode ser maior que a quantidade apresentada." type="custom" errorStyle="stop">
      <formula1>AND(H436&gt;=0,H436&lt;=G436)</formula1>
    </dataValidation>
    <dataValidation sqref="A437" showDropDown="0" showInputMessage="0" showErrorMessage="1" allowBlank="1" errorTitle="Número de recebimento inválido" error="Escolha um número de recebimento já lançado na seção 1." type="list">
      <formula1>=$A$7:$A$56</formula1>
    </dataValidation>
    <dataValidation sqref="D437" showDropDown="0" showInputMessage="0" showErrorMessage="1" allowBlank="1" errorTitle="Código não cadastrado" error="Escolha um código de escola da lista." type="list">
      <formula1>='Entrada de Dados'!$A$6:$A$196</formula1>
    </dataValidation>
    <dataValidation sqref="G437" showDropDown="0" showInputMessage="0" showErrorMessage="1" allowBlank="1" errorTitle="Inválido" error="Não pode ser negativo." type="decimal" errorStyle="stop" operator="greaterThanOrEqual">
      <formula1>0</formula1>
    </dataValidation>
    <dataValidation sqref="H437" showDropDown="0" showInputMessage="0" showErrorMessage="1" allowBlank="1" errorTitle="Rejeição maior que o apresentado" error="A rejeição não pode ser maior que a quantidade apresentada." type="custom" errorStyle="stop">
      <formula1>AND(H437&gt;=0,H437&lt;=G437)</formula1>
    </dataValidation>
    <dataValidation sqref="A438" showDropDown="0" showInputMessage="0" showErrorMessage="1" allowBlank="1" errorTitle="Número de recebimento inválido" error="Escolha um número de recebimento já lançado na seção 1." type="list">
      <formula1>=$A$7:$A$56</formula1>
    </dataValidation>
    <dataValidation sqref="D438" showDropDown="0" showInputMessage="0" showErrorMessage="1" allowBlank="1" errorTitle="Código não cadastrado" error="Escolha um código de escola da lista." type="list">
      <formula1>='Entrada de Dados'!$A$6:$A$196</formula1>
    </dataValidation>
    <dataValidation sqref="G438" showDropDown="0" showInputMessage="0" showErrorMessage="1" allowBlank="1" errorTitle="Inválido" error="Não pode ser negativo." type="decimal" errorStyle="stop" operator="greaterThanOrEqual">
      <formula1>0</formula1>
    </dataValidation>
    <dataValidation sqref="H438" showDropDown="0" showInputMessage="0" showErrorMessage="1" allowBlank="1" errorTitle="Rejeição maior que o apresentado" error="A rejeição não pode ser maior que a quantidade apresentada." type="custom" errorStyle="stop">
      <formula1>AND(H438&gt;=0,H438&lt;=G438)</formula1>
    </dataValidation>
    <dataValidation sqref="A439" showDropDown="0" showInputMessage="0" showErrorMessage="1" allowBlank="1" errorTitle="Número de recebimento inválido" error="Escolha um número de recebimento já lançado na seção 1." type="list">
      <formula1>=$A$7:$A$56</formula1>
    </dataValidation>
    <dataValidation sqref="D439" showDropDown="0" showInputMessage="0" showErrorMessage="1" allowBlank="1" errorTitle="Código não cadastrado" error="Escolha um código de escola da lista." type="list">
      <formula1>='Entrada de Dados'!$A$6:$A$196</formula1>
    </dataValidation>
    <dataValidation sqref="G439" showDropDown="0" showInputMessage="0" showErrorMessage="1" allowBlank="1" errorTitle="Inválido" error="Não pode ser negativo." type="decimal" errorStyle="stop" operator="greaterThanOrEqual">
      <formula1>0</formula1>
    </dataValidation>
    <dataValidation sqref="H439" showDropDown="0" showInputMessage="0" showErrorMessage="1" allowBlank="1" errorTitle="Rejeição maior que o apresentado" error="A rejeição não pode ser maior que a quantidade apresentada." type="custom" errorStyle="stop">
      <formula1>AND(H439&gt;=0,H439&lt;=G439)</formula1>
    </dataValidation>
    <dataValidation sqref="A440" showDropDown="0" showInputMessage="0" showErrorMessage="1" allowBlank="1" errorTitle="Número de recebimento inválido" error="Escolha um número de recebimento já lançado na seção 1." type="list">
      <formula1>=$A$7:$A$56</formula1>
    </dataValidation>
    <dataValidation sqref="D440" showDropDown="0" showInputMessage="0" showErrorMessage="1" allowBlank="1" errorTitle="Código não cadastrado" error="Escolha um código de escola da lista." type="list">
      <formula1>='Entrada de Dados'!$A$6:$A$196</formula1>
    </dataValidation>
    <dataValidation sqref="G440" showDropDown="0" showInputMessage="0" showErrorMessage="1" allowBlank="1" errorTitle="Inválido" error="Não pode ser negativo." type="decimal" errorStyle="stop" operator="greaterThanOrEqual">
      <formula1>0</formula1>
    </dataValidation>
    <dataValidation sqref="H440" showDropDown="0" showInputMessage="0" showErrorMessage="1" allowBlank="1" errorTitle="Rejeição maior que o apresentado" error="A rejeição não pode ser maior que a quantidade apresentada." type="custom" errorStyle="stop">
      <formula1>AND(H440&gt;=0,H440&lt;=G440)</formula1>
    </dataValidation>
    <dataValidation sqref="A441" showDropDown="0" showInputMessage="0" showErrorMessage="1" allowBlank="1" errorTitle="Número de recebimento inválido" error="Escolha um número de recebimento já lançado na seção 1." type="list">
      <formula1>=$A$7:$A$56</formula1>
    </dataValidation>
    <dataValidation sqref="D441" showDropDown="0" showInputMessage="0" showErrorMessage="1" allowBlank="1" errorTitle="Código não cadastrado" error="Escolha um código de escola da lista." type="list">
      <formula1>='Entrada de Dados'!$A$6:$A$196</formula1>
    </dataValidation>
    <dataValidation sqref="G441" showDropDown="0" showInputMessage="0" showErrorMessage="1" allowBlank="1" errorTitle="Inválido" error="Não pode ser negativo." type="decimal" errorStyle="stop" operator="greaterThanOrEqual">
      <formula1>0</formula1>
    </dataValidation>
    <dataValidation sqref="H441" showDropDown="0" showInputMessage="0" showErrorMessage="1" allowBlank="1" errorTitle="Rejeição maior que o apresentado" error="A rejeição não pode ser maior que a quantidade apresentada." type="custom" errorStyle="stop">
      <formula1>AND(H441&gt;=0,H441&lt;=G441)</formula1>
    </dataValidation>
    <dataValidation sqref="A442" showDropDown="0" showInputMessage="0" showErrorMessage="1" allowBlank="1" errorTitle="Número de recebimento inválido" error="Escolha um número de recebimento já lançado na seção 1." type="list">
      <formula1>=$A$7:$A$56</formula1>
    </dataValidation>
    <dataValidation sqref="D442" showDropDown="0" showInputMessage="0" showErrorMessage="1" allowBlank="1" errorTitle="Código não cadastrado" error="Escolha um código de escola da lista." type="list">
      <formula1>='Entrada de Dados'!$A$6:$A$196</formula1>
    </dataValidation>
    <dataValidation sqref="G442" showDropDown="0" showInputMessage="0" showErrorMessage="1" allowBlank="1" errorTitle="Inválido" error="Não pode ser negativo." type="decimal" errorStyle="stop" operator="greaterThanOrEqual">
      <formula1>0</formula1>
    </dataValidation>
    <dataValidation sqref="H442" showDropDown="0" showInputMessage="0" showErrorMessage="1" allowBlank="1" errorTitle="Rejeição maior que o apresentado" error="A rejeição não pode ser maior que a quantidade apresentada." type="custom" errorStyle="stop">
      <formula1>AND(H442&gt;=0,H442&lt;=G442)</formula1>
    </dataValidation>
    <dataValidation sqref="A443" showDropDown="0" showInputMessage="0" showErrorMessage="1" allowBlank="1" errorTitle="Número de recebimento inválido" error="Escolha um número de recebimento já lançado na seção 1." type="list">
      <formula1>=$A$7:$A$56</formula1>
    </dataValidation>
    <dataValidation sqref="D443" showDropDown="0" showInputMessage="0" showErrorMessage="1" allowBlank="1" errorTitle="Código não cadastrado" error="Escolha um código de escola da lista." type="list">
      <formula1>='Entrada de Dados'!$A$6:$A$196</formula1>
    </dataValidation>
    <dataValidation sqref="G443" showDropDown="0" showInputMessage="0" showErrorMessage="1" allowBlank="1" errorTitle="Inválido" error="Não pode ser negativo." type="decimal" errorStyle="stop" operator="greaterThanOrEqual">
      <formula1>0</formula1>
    </dataValidation>
    <dataValidation sqref="H443" showDropDown="0" showInputMessage="0" showErrorMessage="1" allowBlank="1" errorTitle="Rejeição maior que o apresentado" error="A rejeição não pode ser maior que a quantidade apresentada." type="custom" errorStyle="stop">
      <formula1>AND(H443&gt;=0,H443&lt;=G443)</formula1>
    </dataValidation>
    <dataValidation sqref="A444" showDropDown="0" showInputMessage="0" showErrorMessage="1" allowBlank="1" errorTitle="Número de recebimento inválido" error="Escolha um número de recebimento já lançado na seção 1." type="list">
      <formula1>=$A$7:$A$56</formula1>
    </dataValidation>
    <dataValidation sqref="D444" showDropDown="0" showInputMessage="0" showErrorMessage="1" allowBlank="1" errorTitle="Código não cadastrado" error="Escolha um código de escola da lista." type="list">
      <formula1>='Entrada de Dados'!$A$6:$A$196</formula1>
    </dataValidation>
    <dataValidation sqref="G444" showDropDown="0" showInputMessage="0" showErrorMessage="1" allowBlank="1" errorTitle="Inválido" error="Não pode ser negativo." type="decimal" errorStyle="stop" operator="greaterThanOrEqual">
      <formula1>0</formula1>
    </dataValidation>
    <dataValidation sqref="H444" showDropDown="0" showInputMessage="0" showErrorMessage="1" allowBlank="1" errorTitle="Rejeição maior que o apresentado" error="A rejeição não pode ser maior que a quantidade apresentada." type="custom" errorStyle="stop">
      <formula1>AND(H444&gt;=0,H444&lt;=G444)</formula1>
    </dataValidation>
    <dataValidation sqref="A445" showDropDown="0" showInputMessage="0" showErrorMessage="1" allowBlank="1" errorTitle="Número de recebimento inválido" error="Escolha um número de recebimento já lançado na seção 1." type="list">
      <formula1>=$A$7:$A$56</formula1>
    </dataValidation>
    <dataValidation sqref="D445" showDropDown="0" showInputMessage="0" showErrorMessage="1" allowBlank="1" errorTitle="Código não cadastrado" error="Escolha um código de escola da lista." type="list">
      <formula1>='Entrada de Dados'!$A$6:$A$196</formula1>
    </dataValidation>
    <dataValidation sqref="G445" showDropDown="0" showInputMessage="0" showErrorMessage="1" allowBlank="1" errorTitle="Inválido" error="Não pode ser negativo." type="decimal" errorStyle="stop" operator="greaterThanOrEqual">
      <formula1>0</formula1>
    </dataValidation>
    <dataValidation sqref="H445" showDropDown="0" showInputMessage="0" showErrorMessage="1" allowBlank="1" errorTitle="Rejeição maior que o apresentado" error="A rejeição não pode ser maior que a quantidade apresentada." type="custom" errorStyle="stop">
      <formula1>AND(H445&gt;=0,H445&lt;=G445)</formula1>
    </dataValidation>
    <dataValidation sqref="A446" showDropDown="0" showInputMessage="0" showErrorMessage="1" allowBlank="1" errorTitle="Número de recebimento inválido" error="Escolha um número de recebimento já lançado na seção 1." type="list">
      <formula1>=$A$7:$A$56</formula1>
    </dataValidation>
    <dataValidation sqref="D446" showDropDown="0" showInputMessage="0" showErrorMessage="1" allowBlank="1" errorTitle="Código não cadastrado" error="Escolha um código de escola da lista." type="list">
      <formula1>='Entrada de Dados'!$A$6:$A$196</formula1>
    </dataValidation>
    <dataValidation sqref="G446" showDropDown="0" showInputMessage="0" showErrorMessage="1" allowBlank="1" errorTitle="Inválido" error="Não pode ser negativo." type="decimal" errorStyle="stop" operator="greaterThanOrEqual">
      <formula1>0</formula1>
    </dataValidation>
    <dataValidation sqref="H446" showDropDown="0" showInputMessage="0" showErrorMessage="1" allowBlank="1" errorTitle="Rejeição maior que o apresentado" error="A rejeição não pode ser maior que a quantidade apresentada." type="custom" errorStyle="stop">
      <formula1>AND(H446&gt;=0,H446&lt;=G446)</formula1>
    </dataValidation>
    <dataValidation sqref="A447" showDropDown="0" showInputMessage="0" showErrorMessage="1" allowBlank="1" errorTitle="Número de recebimento inválido" error="Escolha um número de recebimento já lançado na seção 1." type="list">
      <formula1>=$A$7:$A$56</formula1>
    </dataValidation>
    <dataValidation sqref="D447" showDropDown="0" showInputMessage="0" showErrorMessage="1" allowBlank="1" errorTitle="Código não cadastrado" error="Escolha um código de escola da lista." type="list">
      <formula1>='Entrada de Dados'!$A$6:$A$196</formula1>
    </dataValidation>
    <dataValidation sqref="G447" showDropDown="0" showInputMessage="0" showErrorMessage="1" allowBlank="1" errorTitle="Inválido" error="Não pode ser negativo." type="decimal" errorStyle="stop" operator="greaterThanOrEqual">
      <formula1>0</formula1>
    </dataValidation>
    <dataValidation sqref="H447" showDropDown="0" showInputMessage="0" showErrorMessage="1" allowBlank="1" errorTitle="Rejeição maior que o apresentado" error="A rejeição não pode ser maior que a quantidade apresentada." type="custom" errorStyle="stop">
      <formula1>AND(H447&gt;=0,H447&lt;=G447)</formula1>
    </dataValidation>
    <dataValidation sqref="A448" showDropDown="0" showInputMessage="0" showErrorMessage="1" allowBlank="1" errorTitle="Número de recebimento inválido" error="Escolha um número de recebimento já lançado na seção 1." type="list">
      <formula1>=$A$7:$A$56</formula1>
    </dataValidation>
    <dataValidation sqref="D448" showDropDown="0" showInputMessage="0" showErrorMessage="1" allowBlank="1" errorTitle="Código não cadastrado" error="Escolha um código de escola da lista." type="list">
      <formula1>='Entrada de Dados'!$A$6:$A$196</formula1>
    </dataValidation>
    <dataValidation sqref="G448" showDropDown="0" showInputMessage="0" showErrorMessage="1" allowBlank="1" errorTitle="Inválido" error="Não pode ser negativo." type="decimal" errorStyle="stop" operator="greaterThanOrEqual">
      <formula1>0</formula1>
    </dataValidation>
    <dataValidation sqref="H448" showDropDown="0" showInputMessage="0" showErrorMessage="1" allowBlank="1" errorTitle="Rejeição maior que o apresentado" error="A rejeição não pode ser maior que a quantidade apresentada." type="custom" errorStyle="stop">
      <formula1>AND(H448&gt;=0,H448&lt;=G448)</formula1>
    </dataValidation>
    <dataValidation sqref="A449" showDropDown="0" showInputMessage="0" showErrorMessage="1" allowBlank="1" errorTitle="Número de recebimento inválido" error="Escolha um número de recebimento já lançado na seção 1." type="list">
      <formula1>=$A$7:$A$56</formula1>
    </dataValidation>
    <dataValidation sqref="D449" showDropDown="0" showInputMessage="0" showErrorMessage="1" allowBlank="1" errorTitle="Código não cadastrado" error="Escolha um código de escola da lista." type="list">
      <formula1>='Entrada de Dados'!$A$6:$A$196</formula1>
    </dataValidation>
    <dataValidation sqref="G449" showDropDown="0" showInputMessage="0" showErrorMessage="1" allowBlank="1" errorTitle="Inválido" error="Não pode ser negativo." type="decimal" errorStyle="stop" operator="greaterThanOrEqual">
      <formula1>0</formula1>
    </dataValidation>
    <dataValidation sqref="H449" showDropDown="0" showInputMessage="0" showErrorMessage="1" allowBlank="1" errorTitle="Rejeição maior que o apresentado" error="A rejeição não pode ser maior que a quantidade apresentada." type="custom" errorStyle="stop">
      <formula1>AND(H449&gt;=0,H449&lt;=G449)</formula1>
    </dataValidation>
    <dataValidation sqref="A450" showDropDown="0" showInputMessage="0" showErrorMessage="1" allowBlank="1" errorTitle="Número de recebimento inválido" error="Escolha um número de recebimento já lançado na seção 1." type="list">
      <formula1>=$A$7:$A$56</formula1>
    </dataValidation>
    <dataValidation sqref="D450" showDropDown="0" showInputMessage="0" showErrorMessage="1" allowBlank="1" errorTitle="Código não cadastrado" error="Escolha um código de escola da lista." type="list">
      <formula1>='Entrada de Dados'!$A$6:$A$196</formula1>
    </dataValidation>
    <dataValidation sqref="G450" showDropDown="0" showInputMessage="0" showErrorMessage="1" allowBlank="1" errorTitle="Inválido" error="Não pode ser negativo." type="decimal" errorStyle="stop" operator="greaterThanOrEqual">
      <formula1>0</formula1>
    </dataValidation>
    <dataValidation sqref="H450" showDropDown="0" showInputMessage="0" showErrorMessage="1" allowBlank="1" errorTitle="Rejeição maior que o apresentado" error="A rejeição não pode ser maior que a quantidade apresentada." type="custom" errorStyle="stop">
      <formula1>AND(H450&gt;=0,H450&lt;=G450)</formula1>
    </dataValidation>
    <dataValidation sqref="A451" showDropDown="0" showInputMessage="0" showErrorMessage="1" allowBlank="1" errorTitle="Número de recebimento inválido" error="Escolha um número de recebimento já lançado na seção 1." type="list">
      <formula1>=$A$7:$A$56</formula1>
    </dataValidation>
    <dataValidation sqref="D451" showDropDown="0" showInputMessage="0" showErrorMessage="1" allowBlank="1" errorTitle="Código não cadastrado" error="Escolha um código de escola da lista." type="list">
      <formula1>='Entrada de Dados'!$A$6:$A$196</formula1>
    </dataValidation>
    <dataValidation sqref="G451" showDropDown="0" showInputMessage="0" showErrorMessage="1" allowBlank="1" errorTitle="Inválido" error="Não pode ser negativo." type="decimal" errorStyle="stop" operator="greaterThanOrEqual">
      <formula1>0</formula1>
    </dataValidation>
    <dataValidation sqref="H451" showDropDown="0" showInputMessage="0" showErrorMessage="1" allowBlank="1" errorTitle="Rejeição maior que o apresentado" error="A rejeição não pode ser maior que a quantidade apresentada." type="custom" errorStyle="stop">
      <formula1>AND(H451&gt;=0,H451&lt;=G451)</formula1>
    </dataValidation>
    <dataValidation sqref="A452" showDropDown="0" showInputMessage="0" showErrorMessage="1" allowBlank="1" errorTitle="Número de recebimento inválido" error="Escolha um número de recebimento já lançado na seção 1." type="list">
      <formula1>=$A$7:$A$56</formula1>
    </dataValidation>
    <dataValidation sqref="D452" showDropDown="0" showInputMessage="0" showErrorMessage="1" allowBlank="1" errorTitle="Código não cadastrado" error="Escolha um código de escola da lista." type="list">
      <formula1>='Entrada de Dados'!$A$6:$A$196</formula1>
    </dataValidation>
    <dataValidation sqref="G452" showDropDown="0" showInputMessage="0" showErrorMessage="1" allowBlank="1" errorTitle="Inválido" error="Não pode ser negativo." type="decimal" errorStyle="stop" operator="greaterThanOrEqual">
      <formula1>0</formula1>
    </dataValidation>
    <dataValidation sqref="H452" showDropDown="0" showInputMessage="0" showErrorMessage="1" allowBlank="1" errorTitle="Rejeição maior que o apresentado" error="A rejeição não pode ser maior que a quantidade apresentada." type="custom" errorStyle="stop">
      <formula1>AND(H452&gt;=0,H452&lt;=G452)</formula1>
    </dataValidation>
    <dataValidation sqref="A453" showDropDown="0" showInputMessage="0" showErrorMessage="1" allowBlank="1" errorTitle="Número de recebimento inválido" error="Escolha um número de recebimento já lançado na seção 1." type="list">
      <formula1>=$A$7:$A$56</formula1>
    </dataValidation>
    <dataValidation sqref="D453" showDropDown="0" showInputMessage="0" showErrorMessage="1" allowBlank="1" errorTitle="Código não cadastrado" error="Escolha um código de escola da lista." type="list">
      <formula1>='Entrada de Dados'!$A$6:$A$196</formula1>
    </dataValidation>
    <dataValidation sqref="G453" showDropDown="0" showInputMessage="0" showErrorMessage="1" allowBlank="1" errorTitle="Inválido" error="Não pode ser negativo." type="decimal" errorStyle="stop" operator="greaterThanOrEqual">
      <formula1>0</formula1>
    </dataValidation>
    <dataValidation sqref="H453" showDropDown="0" showInputMessage="0" showErrorMessage="1" allowBlank="1" errorTitle="Rejeição maior que o apresentado" error="A rejeição não pode ser maior que a quantidade apresentada." type="custom" errorStyle="stop">
      <formula1>AND(H453&gt;=0,H453&lt;=G453)</formula1>
    </dataValidation>
    <dataValidation sqref="A454" showDropDown="0" showInputMessage="0" showErrorMessage="1" allowBlank="1" errorTitle="Número de recebimento inválido" error="Escolha um número de recebimento já lançado na seção 1." type="list">
      <formula1>=$A$7:$A$56</formula1>
    </dataValidation>
    <dataValidation sqref="D454" showDropDown="0" showInputMessage="0" showErrorMessage="1" allowBlank="1" errorTitle="Código não cadastrado" error="Escolha um código de escola da lista." type="list">
      <formula1>='Entrada de Dados'!$A$6:$A$196</formula1>
    </dataValidation>
    <dataValidation sqref="G454" showDropDown="0" showInputMessage="0" showErrorMessage="1" allowBlank="1" errorTitle="Inválido" error="Não pode ser negativo." type="decimal" errorStyle="stop" operator="greaterThanOrEqual">
      <formula1>0</formula1>
    </dataValidation>
    <dataValidation sqref="H454" showDropDown="0" showInputMessage="0" showErrorMessage="1" allowBlank="1" errorTitle="Rejeição maior que o apresentado" error="A rejeição não pode ser maior que a quantidade apresentada." type="custom" errorStyle="stop">
      <formula1>AND(H454&gt;=0,H454&lt;=G454)</formula1>
    </dataValidation>
    <dataValidation sqref="A455" showDropDown="0" showInputMessage="0" showErrorMessage="1" allowBlank="1" errorTitle="Número de recebimento inválido" error="Escolha um número de recebimento já lançado na seção 1." type="list">
      <formula1>=$A$7:$A$56</formula1>
    </dataValidation>
    <dataValidation sqref="D455" showDropDown="0" showInputMessage="0" showErrorMessage="1" allowBlank="1" errorTitle="Código não cadastrado" error="Escolha um código de escola da lista." type="list">
      <formula1>='Entrada de Dados'!$A$6:$A$196</formula1>
    </dataValidation>
    <dataValidation sqref="G455" showDropDown="0" showInputMessage="0" showErrorMessage="1" allowBlank="1" errorTitle="Inválido" error="Não pode ser negativo." type="decimal" errorStyle="stop" operator="greaterThanOrEqual">
      <formula1>0</formula1>
    </dataValidation>
    <dataValidation sqref="H455" showDropDown="0" showInputMessage="0" showErrorMessage="1" allowBlank="1" errorTitle="Rejeição maior que o apresentado" error="A rejeição não pode ser maior que a quantidade apresentada." type="custom" errorStyle="stop">
      <formula1>AND(H455&gt;=0,H455&lt;=G455)</formula1>
    </dataValidation>
    <dataValidation sqref="A456" showDropDown="0" showInputMessage="0" showErrorMessage="1" allowBlank="1" errorTitle="Número de recebimento inválido" error="Escolha um número de recebimento já lançado na seção 1." type="list">
      <formula1>=$A$7:$A$56</formula1>
    </dataValidation>
    <dataValidation sqref="D456" showDropDown="0" showInputMessage="0" showErrorMessage="1" allowBlank="1" errorTitle="Código não cadastrado" error="Escolha um código de escola da lista." type="list">
      <formula1>='Entrada de Dados'!$A$6:$A$196</formula1>
    </dataValidation>
    <dataValidation sqref="G456" showDropDown="0" showInputMessage="0" showErrorMessage="1" allowBlank="1" errorTitle="Inválido" error="Não pode ser negativo." type="decimal" errorStyle="stop" operator="greaterThanOrEqual">
      <formula1>0</formula1>
    </dataValidation>
    <dataValidation sqref="H456" showDropDown="0" showInputMessage="0" showErrorMessage="1" allowBlank="1" errorTitle="Rejeição maior que o apresentado" error="A rejeição não pode ser maior que a quantidade apresentada." type="custom" errorStyle="stop">
      <formula1>AND(H456&gt;=0,H456&lt;=G456)</formula1>
    </dataValidation>
    <dataValidation sqref="A457" showDropDown="0" showInputMessage="0" showErrorMessage="1" allowBlank="1" errorTitle="Número de recebimento inválido" error="Escolha um número de recebimento já lançado na seção 1." type="list">
      <formula1>=$A$7:$A$56</formula1>
    </dataValidation>
    <dataValidation sqref="D457" showDropDown="0" showInputMessage="0" showErrorMessage="1" allowBlank="1" errorTitle="Código não cadastrado" error="Escolha um código de escola da lista." type="list">
      <formula1>='Entrada de Dados'!$A$6:$A$196</formula1>
    </dataValidation>
    <dataValidation sqref="G457" showDropDown="0" showInputMessage="0" showErrorMessage="1" allowBlank="1" errorTitle="Inválido" error="Não pode ser negativo." type="decimal" errorStyle="stop" operator="greaterThanOrEqual">
      <formula1>0</formula1>
    </dataValidation>
    <dataValidation sqref="H457" showDropDown="0" showInputMessage="0" showErrorMessage="1" allowBlank="1" errorTitle="Rejeição maior que o apresentado" error="A rejeição não pode ser maior que a quantidade apresentada." type="custom" errorStyle="stop">
      <formula1>AND(H457&gt;=0,H457&lt;=G457)</formula1>
    </dataValidation>
    <dataValidation sqref="A458" showDropDown="0" showInputMessage="0" showErrorMessage="1" allowBlank="1" errorTitle="Número de recebimento inválido" error="Escolha um número de recebimento já lançado na seção 1." type="list">
      <formula1>=$A$7:$A$56</formula1>
    </dataValidation>
    <dataValidation sqref="D458" showDropDown="0" showInputMessage="0" showErrorMessage="1" allowBlank="1" errorTitle="Código não cadastrado" error="Escolha um código de escola da lista." type="list">
      <formula1>='Entrada de Dados'!$A$6:$A$196</formula1>
    </dataValidation>
    <dataValidation sqref="G458" showDropDown="0" showInputMessage="0" showErrorMessage="1" allowBlank="1" errorTitle="Inválido" error="Não pode ser negativo." type="decimal" errorStyle="stop" operator="greaterThanOrEqual">
      <formula1>0</formula1>
    </dataValidation>
    <dataValidation sqref="H458" showDropDown="0" showInputMessage="0" showErrorMessage="1" allowBlank="1" errorTitle="Rejeição maior que o apresentado" error="A rejeição não pode ser maior que a quantidade apresentada." type="custom" errorStyle="stop">
      <formula1>AND(H458&gt;=0,H458&lt;=G458)</formula1>
    </dataValidation>
    <dataValidation sqref="A459" showDropDown="0" showInputMessage="0" showErrorMessage="1" allowBlank="1" errorTitle="Número de recebimento inválido" error="Escolha um número de recebimento já lançado na seção 1." type="list">
      <formula1>=$A$7:$A$56</formula1>
    </dataValidation>
    <dataValidation sqref="D459" showDropDown="0" showInputMessage="0" showErrorMessage="1" allowBlank="1" errorTitle="Código não cadastrado" error="Escolha um código de escola da lista." type="list">
      <formula1>='Entrada de Dados'!$A$6:$A$196</formula1>
    </dataValidation>
    <dataValidation sqref="G459" showDropDown="0" showInputMessage="0" showErrorMessage="1" allowBlank="1" errorTitle="Inválido" error="Não pode ser negativo." type="decimal" errorStyle="stop" operator="greaterThanOrEqual">
      <formula1>0</formula1>
    </dataValidation>
    <dataValidation sqref="H459" showDropDown="0" showInputMessage="0" showErrorMessage="1" allowBlank="1" errorTitle="Rejeição maior que o apresentado" error="A rejeição não pode ser maior que a quantidade apresentada." type="custom" errorStyle="stop">
      <formula1>AND(H459&gt;=0,H459&lt;=G459)</formula1>
    </dataValidation>
    <dataValidation sqref="A460" showDropDown="0" showInputMessage="0" showErrorMessage="1" allowBlank="1" errorTitle="Número de recebimento inválido" error="Escolha um número de recebimento já lançado na seção 1." type="list">
      <formula1>=$A$7:$A$56</formula1>
    </dataValidation>
    <dataValidation sqref="D460" showDropDown="0" showInputMessage="0" showErrorMessage="1" allowBlank="1" errorTitle="Código não cadastrado" error="Escolha um código de escola da lista." type="list">
      <formula1>='Entrada de Dados'!$A$6:$A$196</formula1>
    </dataValidation>
    <dataValidation sqref="G460" showDropDown="0" showInputMessage="0" showErrorMessage="1" allowBlank="1" errorTitle="Inválido" error="Não pode ser negativo." type="decimal" errorStyle="stop" operator="greaterThanOrEqual">
      <formula1>0</formula1>
    </dataValidation>
    <dataValidation sqref="H460" showDropDown="0" showInputMessage="0" showErrorMessage="1" allowBlank="1" errorTitle="Rejeição maior que o apresentado" error="A rejeição não pode ser maior que a quantidade apresentada." type="custom" errorStyle="stop">
      <formula1>AND(H460&gt;=0,H460&lt;=G460)</formula1>
    </dataValidation>
    <dataValidation sqref="A461" showDropDown="0" showInputMessage="0" showErrorMessage="1" allowBlank="1" errorTitle="Número de recebimento inválido" error="Escolha um número de recebimento já lançado na seção 1." type="list">
      <formula1>=$A$7:$A$56</formula1>
    </dataValidation>
    <dataValidation sqref="D461" showDropDown="0" showInputMessage="0" showErrorMessage="1" allowBlank="1" errorTitle="Código não cadastrado" error="Escolha um código de escola da lista." type="list">
      <formula1>='Entrada de Dados'!$A$6:$A$196</formula1>
    </dataValidation>
    <dataValidation sqref="G461" showDropDown="0" showInputMessage="0" showErrorMessage="1" allowBlank="1" errorTitle="Inválido" error="Não pode ser negativo." type="decimal" errorStyle="stop" operator="greaterThanOrEqual">
      <formula1>0</formula1>
    </dataValidation>
    <dataValidation sqref="H461" showDropDown="0" showInputMessage="0" showErrorMessage="1" allowBlank="1" errorTitle="Rejeição maior que o apresentado" error="A rejeição não pode ser maior que a quantidade apresentada." type="custom" errorStyle="stop">
      <formula1>AND(H461&gt;=0,H461&lt;=G461)</formula1>
    </dataValidation>
    <dataValidation sqref="A462" showDropDown="0" showInputMessage="0" showErrorMessage="1" allowBlank="1" errorTitle="Número de recebimento inválido" error="Escolha um número de recebimento já lançado na seção 1." type="list">
      <formula1>=$A$7:$A$56</formula1>
    </dataValidation>
    <dataValidation sqref="D462" showDropDown="0" showInputMessage="0" showErrorMessage="1" allowBlank="1" errorTitle="Código não cadastrado" error="Escolha um código de escola da lista." type="list">
      <formula1>='Entrada de Dados'!$A$6:$A$196</formula1>
    </dataValidation>
    <dataValidation sqref="G462" showDropDown="0" showInputMessage="0" showErrorMessage="1" allowBlank="1" errorTitle="Inválido" error="Não pode ser negativo." type="decimal" errorStyle="stop" operator="greaterThanOrEqual">
      <formula1>0</formula1>
    </dataValidation>
    <dataValidation sqref="H462" showDropDown="0" showInputMessage="0" showErrorMessage="1" allowBlank="1" errorTitle="Rejeição maior que o apresentado" error="A rejeição não pode ser maior que a quantidade apresentada." type="custom" errorStyle="stop">
      <formula1>AND(H462&gt;=0,H462&lt;=G462)</formula1>
    </dataValidation>
    <dataValidation sqref="A463" showDropDown="0" showInputMessage="0" showErrorMessage="1" allowBlank="1" errorTitle="Número de recebimento inválido" error="Escolha um número de recebimento já lançado na seção 1." type="list">
      <formula1>=$A$7:$A$56</formula1>
    </dataValidation>
    <dataValidation sqref="D463" showDropDown="0" showInputMessage="0" showErrorMessage="1" allowBlank="1" errorTitle="Código não cadastrado" error="Escolha um código de escola da lista." type="list">
      <formula1>='Entrada de Dados'!$A$6:$A$196</formula1>
    </dataValidation>
    <dataValidation sqref="G463" showDropDown="0" showInputMessage="0" showErrorMessage="1" allowBlank="1" errorTitle="Inválido" error="Não pode ser negativo." type="decimal" errorStyle="stop" operator="greaterThanOrEqual">
      <formula1>0</formula1>
    </dataValidation>
    <dataValidation sqref="H463" showDropDown="0" showInputMessage="0" showErrorMessage="1" allowBlank="1" errorTitle="Rejeição maior que o apresentado" error="A rejeição não pode ser maior que a quantidade apresentada." type="custom" errorStyle="stop">
      <formula1>AND(H463&gt;=0,H463&lt;=G463)</formula1>
    </dataValidation>
    <dataValidation sqref="A464" showDropDown="0" showInputMessage="0" showErrorMessage="1" allowBlank="1" errorTitle="Número de recebimento inválido" error="Escolha um número de recebimento já lançado na seção 1." type="list">
      <formula1>=$A$7:$A$56</formula1>
    </dataValidation>
    <dataValidation sqref="D464" showDropDown="0" showInputMessage="0" showErrorMessage="1" allowBlank="1" errorTitle="Código não cadastrado" error="Escolha um código de escola da lista." type="list">
      <formula1>='Entrada de Dados'!$A$6:$A$196</formula1>
    </dataValidation>
    <dataValidation sqref="G464" showDropDown="0" showInputMessage="0" showErrorMessage="1" allowBlank="1" errorTitle="Inválido" error="Não pode ser negativo." type="decimal" errorStyle="stop" operator="greaterThanOrEqual">
      <formula1>0</formula1>
    </dataValidation>
    <dataValidation sqref="H464" showDropDown="0" showInputMessage="0" showErrorMessage="1" allowBlank="1" errorTitle="Rejeição maior que o apresentado" error="A rejeição não pode ser maior que a quantidade apresentada." type="custom" errorStyle="stop">
      <formula1>AND(H464&gt;=0,H464&lt;=G464)</formula1>
    </dataValidation>
    <dataValidation sqref="A465" showDropDown="0" showInputMessage="0" showErrorMessage="1" allowBlank="1" errorTitle="Número de recebimento inválido" error="Escolha um número de recebimento já lançado na seção 1." type="list">
      <formula1>=$A$7:$A$56</formula1>
    </dataValidation>
    <dataValidation sqref="D465" showDropDown="0" showInputMessage="0" showErrorMessage="1" allowBlank="1" errorTitle="Código não cadastrado" error="Escolha um código de escola da lista." type="list">
      <formula1>='Entrada de Dados'!$A$6:$A$196</formula1>
    </dataValidation>
    <dataValidation sqref="G465" showDropDown="0" showInputMessage="0" showErrorMessage="1" allowBlank="1" errorTitle="Inválido" error="Não pode ser negativo." type="decimal" errorStyle="stop" operator="greaterThanOrEqual">
      <formula1>0</formula1>
    </dataValidation>
    <dataValidation sqref="H465" showDropDown="0" showInputMessage="0" showErrorMessage="1" allowBlank="1" errorTitle="Rejeição maior que o apresentado" error="A rejeição não pode ser maior que a quantidade apresentada." type="custom" errorStyle="stop">
      <formula1>AND(H465&gt;=0,H465&lt;=G465)</formula1>
    </dataValidation>
    <dataValidation sqref="A466" showDropDown="0" showInputMessage="0" showErrorMessage="1" allowBlank="1" errorTitle="Número de recebimento inválido" error="Escolha um número de recebimento já lançado na seção 1." type="list">
      <formula1>=$A$7:$A$56</formula1>
    </dataValidation>
    <dataValidation sqref="D466" showDropDown="0" showInputMessage="0" showErrorMessage="1" allowBlank="1" errorTitle="Código não cadastrado" error="Escolha um código de escola da lista." type="list">
      <formula1>='Entrada de Dados'!$A$6:$A$196</formula1>
    </dataValidation>
    <dataValidation sqref="G466" showDropDown="0" showInputMessage="0" showErrorMessage="1" allowBlank="1" errorTitle="Inválido" error="Não pode ser negativo." type="decimal" errorStyle="stop" operator="greaterThanOrEqual">
      <formula1>0</formula1>
    </dataValidation>
    <dataValidation sqref="H466" showDropDown="0" showInputMessage="0" showErrorMessage="1" allowBlank="1" errorTitle="Rejeição maior que o apresentado" error="A rejeição não pode ser maior que a quantidade apresentada." type="custom" errorStyle="stop">
      <formula1>AND(H466&gt;=0,H466&lt;=G466)</formula1>
    </dataValidation>
    <dataValidation sqref="A467" showDropDown="0" showInputMessage="0" showErrorMessage="1" allowBlank="1" errorTitle="Número de recebimento inválido" error="Escolha um número de recebimento já lançado na seção 1." type="list">
      <formula1>=$A$7:$A$56</formula1>
    </dataValidation>
    <dataValidation sqref="D467" showDropDown="0" showInputMessage="0" showErrorMessage="1" allowBlank="1" errorTitle="Código não cadastrado" error="Escolha um código de escola da lista." type="list">
      <formula1>='Entrada de Dados'!$A$6:$A$196</formula1>
    </dataValidation>
    <dataValidation sqref="G467" showDropDown="0" showInputMessage="0" showErrorMessage="1" allowBlank="1" errorTitle="Inválido" error="Não pode ser negativo." type="decimal" errorStyle="stop" operator="greaterThanOrEqual">
      <formula1>0</formula1>
    </dataValidation>
    <dataValidation sqref="H467" showDropDown="0" showInputMessage="0" showErrorMessage="1" allowBlank="1" errorTitle="Rejeição maior que o apresentado" error="A rejeição não pode ser maior que a quantidade apresentada." type="custom" errorStyle="stop">
      <formula1>AND(H467&gt;=0,H467&lt;=G467)</formula1>
    </dataValidation>
    <dataValidation sqref="A468" showDropDown="0" showInputMessage="0" showErrorMessage="1" allowBlank="1" errorTitle="Número de recebimento inválido" error="Escolha um número de recebimento já lançado na seção 1." type="list">
      <formula1>=$A$7:$A$56</formula1>
    </dataValidation>
    <dataValidation sqref="D468" showDropDown="0" showInputMessage="0" showErrorMessage="1" allowBlank="1" errorTitle="Código não cadastrado" error="Escolha um código de escola da lista." type="list">
      <formula1>='Entrada de Dados'!$A$6:$A$196</formula1>
    </dataValidation>
    <dataValidation sqref="G468" showDropDown="0" showInputMessage="0" showErrorMessage="1" allowBlank="1" errorTitle="Inválido" error="Não pode ser negativo." type="decimal" errorStyle="stop" operator="greaterThanOrEqual">
      <formula1>0</formula1>
    </dataValidation>
    <dataValidation sqref="H468" showDropDown="0" showInputMessage="0" showErrorMessage="1" allowBlank="1" errorTitle="Rejeição maior que o apresentado" error="A rejeição não pode ser maior que a quantidade apresentada." type="custom" errorStyle="stop">
      <formula1>AND(H468&gt;=0,H468&lt;=G468)</formula1>
    </dataValidation>
    <dataValidation sqref="A469" showDropDown="0" showInputMessage="0" showErrorMessage="1" allowBlank="1" errorTitle="Número de recebimento inválido" error="Escolha um número de recebimento já lançado na seção 1." type="list">
      <formula1>=$A$7:$A$56</formula1>
    </dataValidation>
    <dataValidation sqref="D469" showDropDown="0" showInputMessage="0" showErrorMessage="1" allowBlank="1" errorTitle="Código não cadastrado" error="Escolha um código de escola da lista." type="list">
      <formula1>='Entrada de Dados'!$A$6:$A$196</formula1>
    </dataValidation>
    <dataValidation sqref="G469" showDropDown="0" showInputMessage="0" showErrorMessage="1" allowBlank="1" errorTitle="Inválido" error="Não pode ser negativo." type="decimal" errorStyle="stop" operator="greaterThanOrEqual">
      <formula1>0</formula1>
    </dataValidation>
    <dataValidation sqref="H469" showDropDown="0" showInputMessage="0" showErrorMessage="1" allowBlank="1" errorTitle="Rejeição maior que o apresentado" error="A rejeição não pode ser maior que a quantidade apresentada." type="custom" errorStyle="stop">
      <formula1>AND(H469&gt;=0,H469&lt;=G469)</formula1>
    </dataValidation>
    <dataValidation sqref="A470" showDropDown="0" showInputMessage="0" showErrorMessage="1" allowBlank="1" errorTitle="Número de recebimento inválido" error="Escolha um número de recebimento já lançado na seção 1." type="list">
      <formula1>=$A$7:$A$56</formula1>
    </dataValidation>
    <dataValidation sqref="D470" showDropDown="0" showInputMessage="0" showErrorMessage="1" allowBlank="1" errorTitle="Código não cadastrado" error="Escolha um código de escola da lista." type="list">
      <formula1>='Entrada de Dados'!$A$6:$A$196</formula1>
    </dataValidation>
    <dataValidation sqref="G470" showDropDown="0" showInputMessage="0" showErrorMessage="1" allowBlank="1" errorTitle="Inválido" error="Não pode ser negativo." type="decimal" errorStyle="stop" operator="greaterThanOrEqual">
      <formula1>0</formula1>
    </dataValidation>
    <dataValidation sqref="H470" showDropDown="0" showInputMessage="0" showErrorMessage="1" allowBlank="1" errorTitle="Rejeição maior que o apresentado" error="A rejeição não pode ser maior que a quantidade apresentada." type="custom" errorStyle="stop">
      <formula1>AND(H470&gt;=0,H470&lt;=G470)</formula1>
    </dataValidation>
    <dataValidation sqref="A471" showDropDown="0" showInputMessage="0" showErrorMessage="1" allowBlank="1" errorTitle="Número de recebimento inválido" error="Escolha um número de recebimento já lançado na seção 1." type="list">
      <formula1>=$A$7:$A$56</formula1>
    </dataValidation>
    <dataValidation sqref="D471" showDropDown="0" showInputMessage="0" showErrorMessage="1" allowBlank="1" errorTitle="Código não cadastrado" error="Escolha um código de escola da lista." type="list">
      <formula1>='Entrada de Dados'!$A$6:$A$196</formula1>
    </dataValidation>
    <dataValidation sqref="G471" showDropDown="0" showInputMessage="0" showErrorMessage="1" allowBlank="1" errorTitle="Inválido" error="Não pode ser negativo." type="decimal" errorStyle="stop" operator="greaterThanOrEqual">
      <formula1>0</formula1>
    </dataValidation>
    <dataValidation sqref="H471" showDropDown="0" showInputMessage="0" showErrorMessage="1" allowBlank="1" errorTitle="Rejeição maior que o apresentado" error="A rejeição não pode ser maior que a quantidade apresentada." type="custom" errorStyle="stop">
      <formula1>AND(H471&gt;=0,H471&lt;=G471)</formula1>
    </dataValidation>
    <dataValidation sqref="A472" showDropDown="0" showInputMessage="0" showErrorMessage="1" allowBlank="1" errorTitle="Número de recebimento inválido" error="Escolha um número de recebimento já lançado na seção 1." type="list">
      <formula1>=$A$7:$A$56</formula1>
    </dataValidation>
    <dataValidation sqref="D472" showDropDown="0" showInputMessage="0" showErrorMessage="1" allowBlank="1" errorTitle="Código não cadastrado" error="Escolha um código de escola da lista." type="list">
      <formula1>='Entrada de Dados'!$A$6:$A$196</formula1>
    </dataValidation>
    <dataValidation sqref="G472" showDropDown="0" showInputMessage="0" showErrorMessage="1" allowBlank="1" errorTitle="Inválido" error="Não pode ser negativo." type="decimal" errorStyle="stop" operator="greaterThanOrEqual">
      <formula1>0</formula1>
    </dataValidation>
    <dataValidation sqref="H472" showDropDown="0" showInputMessage="0" showErrorMessage="1" allowBlank="1" errorTitle="Rejeição maior que o apresentado" error="A rejeição não pode ser maior que a quantidade apresentada." type="custom" errorStyle="stop">
      <formula1>AND(H472&gt;=0,H472&lt;=G472)</formula1>
    </dataValidation>
    <dataValidation sqref="A473" showDropDown="0" showInputMessage="0" showErrorMessage="1" allowBlank="1" errorTitle="Número de recebimento inválido" error="Escolha um número de recebimento já lançado na seção 1." type="list">
      <formula1>=$A$7:$A$56</formula1>
    </dataValidation>
    <dataValidation sqref="D473" showDropDown="0" showInputMessage="0" showErrorMessage="1" allowBlank="1" errorTitle="Código não cadastrado" error="Escolha um código de escola da lista." type="list">
      <formula1>='Entrada de Dados'!$A$6:$A$196</formula1>
    </dataValidation>
    <dataValidation sqref="G473" showDropDown="0" showInputMessage="0" showErrorMessage="1" allowBlank="1" errorTitle="Inválido" error="Não pode ser negativo." type="decimal" errorStyle="stop" operator="greaterThanOrEqual">
      <formula1>0</formula1>
    </dataValidation>
    <dataValidation sqref="H473" showDropDown="0" showInputMessage="0" showErrorMessage="1" allowBlank="1" errorTitle="Rejeição maior que o apresentado" error="A rejeição não pode ser maior que a quantidade apresentada." type="custom" errorStyle="stop">
      <formula1>AND(H473&gt;=0,H473&lt;=G473)</formula1>
    </dataValidation>
    <dataValidation sqref="A474" showDropDown="0" showInputMessage="0" showErrorMessage="1" allowBlank="1" errorTitle="Número de recebimento inválido" error="Escolha um número de recebimento já lançado na seção 1." type="list">
      <formula1>=$A$7:$A$56</formula1>
    </dataValidation>
    <dataValidation sqref="D474" showDropDown="0" showInputMessage="0" showErrorMessage="1" allowBlank="1" errorTitle="Código não cadastrado" error="Escolha um código de escola da lista." type="list">
      <formula1>='Entrada de Dados'!$A$6:$A$196</formula1>
    </dataValidation>
    <dataValidation sqref="G474" showDropDown="0" showInputMessage="0" showErrorMessage="1" allowBlank="1" errorTitle="Inválido" error="Não pode ser negativo." type="decimal" errorStyle="stop" operator="greaterThanOrEqual">
      <formula1>0</formula1>
    </dataValidation>
    <dataValidation sqref="H474" showDropDown="0" showInputMessage="0" showErrorMessage="1" allowBlank="1" errorTitle="Rejeição maior que o apresentado" error="A rejeição não pode ser maior que a quantidade apresentada." type="custom" errorStyle="stop">
      <formula1>AND(H474&gt;=0,H474&lt;=G474)</formula1>
    </dataValidation>
    <dataValidation sqref="A475" showDropDown="0" showInputMessage="0" showErrorMessage="1" allowBlank="1" errorTitle="Número de recebimento inválido" error="Escolha um número de recebimento já lançado na seção 1." type="list">
      <formula1>=$A$7:$A$56</formula1>
    </dataValidation>
    <dataValidation sqref="D475" showDropDown="0" showInputMessage="0" showErrorMessage="1" allowBlank="1" errorTitle="Código não cadastrado" error="Escolha um código de escola da lista." type="list">
      <formula1>='Entrada de Dados'!$A$6:$A$196</formula1>
    </dataValidation>
    <dataValidation sqref="G475" showDropDown="0" showInputMessage="0" showErrorMessage="1" allowBlank="1" errorTitle="Inválido" error="Não pode ser negativo." type="decimal" errorStyle="stop" operator="greaterThanOrEqual">
      <formula1>0</formula1>
    </dataValidation>
    <dataValidation sqref="H475" showDropDown="0" showInputMessage="0" showErrorMessage="1" allowBlank="1" errorTitle="Rejeição maior que o apresentado" error="A rejeição não pode ser maior que a quantidade apresentada." type="custom" errorStyle="stop">
      <formula1>AND(H475&gt;=0,H475&lt;=G475)</formula1>
    </dataValidation>
    <dataValidation sqref="A476" showDropDown="0" showInputMessage="0" showErrorMessage="1" allowBlank="1" errorTitle="Número de recebimento inválido" error="Escolha um número de recebimento já lançado na seção 1." type="list">
      <formula1>=$A$7:$A$56</formula1>
    </dataValidation>
    <dataValidation sqref="D476" showDropDown="0" showInputMessage="0" showErrorMessage="1" allowBlank="1" errorTitle="Código não cadastrado" error="Escolha um código de escola da lista." type="list">
      <formula1>='Entrada de Dados'!$A$6:$A$196</formula1>
    </dataValidation>
    <dataValidation sqref="G476" showDropDown="0" showInputMessage="0" showErrorMessage="1" allowBlank="1" errorTitle="Inválido" error="Não pode ser negativo." type="decimal" errorStyle="stop" operator="greaterThanOrEqual">
      <formula1>0</formula1>
    </dataValidation>
    <dataValidation sqref="H476" showDropDown="0" showInputMessage="0" showErrorMessage="1" allowBlank="1" errorTitle="Rejeição maior que o apresentado" error="A rejeição não pode ser maior que a quantidade apresentada." type="custom" errorStyle="stop">
      <formula1>AND(H476&gt;=0,H476&lt;=G476)</formula1>
    </dataValidation>
    <dataValidation sqref="A477" showDropDown="0" showInputMessage="0" showErrorMessage="1" allowBlank="1" errorTitle="Número de recebimento inválido" error="Escolha um número de recebimento já lançado na seção 1." type="list">
      <formula1>=$A$7:$A$56</formula1>
    </dataValidation>
    <dataValidation sqref="D477" showDropDown="0" showInputMessage="0" showErrorMessage="1" allowBlank="1" errorTitle="Código não cadastrado" error="Escolha um código de escola da lista." type="list">
      <formula1>='Entrada de Dados'!$A$6:$A$196</formula1>
    </dataValidation>
    <dataValidation sqref="G477" showDropDown="0" showInputMessage="0" showErrorMessage="1" allowBlank="1" errorTitle="Inválido" error="Não pode ser negativo." type="decimal" errorStyle="stop" operator="greaterThanOrEqual">
      <formula1>0</formula1>
    </dataValidation>
    <dataValidation sqref="H477" showDropDown="0" showInputMessage="0" showErrorMessage="1" allowBlank="1" errorTitle="Rejeição maior que o apresentado" error="A rejeição não pode ser maior que a quantidade apresentada." type="custom" errorStyle="stop">
      <formula1>AND(H477&gt;=0,H477&lt;=G477)</formula1>
    </dataValidation>
    <dataValidation sqref="A478" showDropDown="0" showInputMessage="0" showErrorMessage="1" allowBlank="1" errorTitle="Número de recebimento inválido" error="Escolha um número de recebimento já lançado na seção 1." type="list">
      <formula1>=$A$7:$A$56</formula1>
    </dataValidation>
    <dataValidation sqref="D478" showDropDown="0" showInputMessage="0" showErrorMessage="1" allowBlank="1" errorTitle="Código não cadastrado" error="Escolha um código de escola da lista." type="list">
      <formula1>='Entrada de Dados'!$A$6:$A$196</formula1>
    </dataValidation>
    <dataValidation sqref="G478" showDropDown="0" showInputMessage="0" showErrorMessage="1" allowBlank="1" errorTitle="Inválido" error="Não pode ser negativo." type="decimal" errorStyle="stop" operator="greaterThanOrEqual">
      <formula1>0</formula1>
    </dataValidation>
    <dataValidation sqref="H478" showDropDown="0" showInputMessage="0" showErrorMessage="1" allowBlank="1" errorTitle="Rejeição maior que o apresentado" error="A rejeição não pode ser maior que a quantidade apresentada." type="custom" errorStyle="stop">
      <formula1>AND(H478&gt;=0,H478&lt;=G478)</formula1>
    </dataValidation>
    <dataValidation sqref="A479" showDropDown="0" showInputMessage="0" showErrorMessage="1" allowBlank="1" errorTitle="Número de recebimento inválido" error="Escolha um número de recebimento já lançado na seção 1." type="list">
      <formula1>=$A$7:$A$56</formula1>
    </dataValidation>
    <dataValidation sqref="D479" showDropDown="0" showInputMessage="0" showErrorMessage="1" allowBlank="1" errorTitle="Código não cadastrado" error="Escolha um código de escola da lista." type="list">
      <formula1>='Entrada de Dados'!$A$6:$A$196</formula1>
    </dataValidation>
    <dataValidation sqref="G479" showDropDown="0" showInputMessage="0" showErrorMessage="1" allowBlank="1" errorTitle="Inválido" error="Não pode ser negativo." type="decimal" errorStyle="stop" operator="greaterThanOrEqual">
      <formula1>0</formula1>
    </dataValidation>
    <dataValidation sqref="H479" showDropDown="0" showInputMessage="0" showErrorMessage="1" allowBlank="1" errorTitle="Rejeição maior que o apresentado" error="A rejeição não pode ser maior que a quantidade apresentada." type="custom" errorStyle="stop">
      <formula1>AND(H479&gt;=0,H479&lt;=G479)</formula1>
    </dataValidation>
    <dataValidation sqref="A480" showDropDown="0" showInputMessage="0" showErrorMessage="1" allowBlank="1" errorTitle="Número de recebimento inválido" error="Escolha um número de recebimento já lançado na seção 1." type="list">
      <formula1>=$A$7:$A$56</formula1>
    </dataValidation>
    <dataValidation sqref="D480" showDropDown="0" showInputMessage="0" showErrorMessage="1" allowBlank="1" errorTitle="Código não cadastrado" error="Escolha um código de escola da lista." type="list">
      <formula1>='Entrada de Dados'!$A$6:$A$196</formula1>
    </dataValidation>
    <dataValidation sqref="G480" showDropDown="0" showInputMessage="0" showErrorMessage="1" allowBlank="1" errorTitle="Inválido" error="Não pode ser negativo." type="decimal" errorStyle="stop" operator="greaterThanOrEqual">
      <formula1>0</formula1>
    </dataValidation>
    <dataValidation sqref="H480" showDropDown="0" showInputMessage="0" showErrorMessage="1" allowBlank="1" errorTitle="Rejeição maior que o apresentado" error="A rejeição não pode ser maior que a quantidade apresentada." type="custom" errorStyle="stop">
      <formula1>AND(H480&gt;=0,H480&lt;=G480)</formula1>
    </dataValidation>
    <dataValidation sqref="A481" showDropDown="0" showInputMessage="0" showErrorMessage="1" allowBlank="1" errorTitle="Número de recebimento inválido" error="Escolha um número de recebimento já lançado na seção 1." type="list">
      <formula1>=$A$7:$A$56</formula1>
    </dataValidation>
    <dataValidation sqref="D481" showDropDown="0" showInputMessage="0" showErrorMessage="1" allowBlank="1" errorTitle="Código não cadastrado" error="Escolha um código de escola da lista." type="list">
      <formula1>='Entrada de Dados'!$A$6:$A$196</formula1>
    </dataValidation>
    <dataValidation sqref="G481" showDropDown="0" showInputMessage="0" showErrorMessage="1" allowBlank="1" errorTitle="Inválido" error="Não pode ser negativo." type="decimal" errorStyle="stop" operator="greaterThanOrEqual">
      <formula1>0</formula1>
    </dataValidation>
    <dataValidation sqref="H481" showDropDown="0" showInputMessage="0" showErrorMessage="1" allowBlank="1" errorTitle="Rejeição maior que o apresentado" error="A rejeição não pode ser maior que a quantidade apresentada." type="custom" errorStyle="stop">
      <formula1>AND(H481&gt;=0,H481&lt;=G481)</formula1>
    </dataValidation>
    <dataValidation sqref="A482" showDropDown="0" showInputMessage="0" showErrorMessage="1" allowBlank="1" errorTitle="Número de recebimento inválido" error="Escolha um número de recebimento já lançado na seção 1." type="list">
      <formula1>=$A$7:$A$56</formula1>
    </dataValidation>
    <dataValidation sqref="D482" showDropDown="0" showInputMessage="0" showErrorMessage="1" allowBlank="1" errorTitle="Código não cadastrado" error="Escolha um código de escola da lista." type="list">
      <formula1>='Entrada de Dados'!$A$6:$A$196</formula1>
    </dataValidation>
    <dataValidation sqref="G482" showDropDown="0" showInputMessage="0" showErrorMessage="1" allowBlank="1" errorTitle="Inválido" error="Não pode ser negativo." type="decimal" errorStyle="stop" operator="greaterThanOrEqual">
      <formula1>0</formula1>
    </dataValidation>
    <dataValidation sqref="H482" showDropDown="0" showInputMessage="0" showErrorMessage="1" allowBlank="1" errorTitle="Rejeição maior que o apresentado" error="A rejeição não pode ser maior que a quantidade apresentada." type="custom" errorStyle="stop">
      <formula1>AND(H482&gt;=0,H482&lt;=G482)</formula1>
    </dataValidation>
    <dataValidation sqref="A483" showDropDown="0" showInputMessage="0" showErrorMessage="1" allowBlank="1" errorTitle="Número de recebimento inválido" error="Escolha um número de recebimento já lançado na seção 1." type="list">
      <formula1>=$A$7:$A$56</formula1>
    </dataValidation>
    <dataValidation sqref="D483" showDropDown="0" showInputMessage="0" showErrorMessage="1" allowBlank="1" errorTitle="Código não cadastrado" error="Escolha um código de escola da lista." type="list">
      <formula1>='Entrada de Dados'!$A$6:$A$196</formula1>
    </dataValidation>
    <dataValidation sqref="G483" showDropDown="0" showInputMessage="0" showErrorMessage="1" allowBlank="1" errorTitle="Inválido" error="Não pode ser negativo." type="decimal" errorStyle="stop" operator="greaterThanOrEqual">
      <formula1>0</formula1>
    </dataValidation>
    <dataValidation sqref="H483" showDropDown="0" showInputMessage="0" showErrorMessage="1" allowBlank="1" errorTitle="Rejeição maior que o apresentado" error="A rejeição não pode ser maior que a quantidade apresentada." type="custom" errorStyle="stop">
      <formula1>AND(H483&gt;=0,H483&lt;=G483)</formula1>
    </dataValidation>
    <dataValidation sqref="A484" showDropDown="0" showInputMessage="0" showErrorMessage="1" allowBlank="1" errorTitle="Número de recebimento inválido" error="Escolha um número de recebimento já lançado na seção 1." type="list">
      <formula1>=$A$7:$A$56</formula1>
    </dataValidation>
    <dataValidation sqref="D484" showDropDown="0" showInputMessage="0" showErrorMessage="1" allowBlank="1" errorTitle="Código não cadastrado" error="Escolha um código de escola da lista." type="list">
      <formula1>='Entrada de Dados'!$A$6:$A$196</formula1>
    </dataValidation>
    <dataValidation sqref="G484" showDropDown="0" showInputMessage="0" showErrorMessage="1" allowBlank="1" errorTitle="Inválido" error="Não pode ser negativo." type="decimal" errorStyle="stop" operator="greaterThanOrEqual">
      <formula1>0</formula1>
    </dataValidation>
    <dataValidation sqref="H484" showDropDown="0" showInputMessage="0" showErrorMessage="1" allowBlank="1" errorTitle="Rejeição maior que o apresentado" error="A rejeição não pode ser maior que a quantidade apresentada." type="custom" errorStyle="stop">
      <formula1>AND(H484&gt;=0,H484&lt;=G484)</formula1>
    </dataValidation>
    <dataValidation sqref="A485" showDropDown="0" showInputMessage="0" showErrorMessage="1" allowBlank="1" errorTitle="Número de recebimento inválido" error="Escolha um número de recebimento já lançado na seção 1." type="list">
      <formula1>=$A$7:$A$56</formula1>
    </dataValidation>
    <dataValidation sqref="D485" showDropDown="0" showInputMessage="0" showErrorMessage="1" allowBlank="1" errorTitle="Código não cadastrado" error="Escolha um código de escola da lista." type="list">
      <formula1>='Entrada de Dados'!$A$6:$A$196</formula1>
    </dataValidation>
    <dataValidation sqref="G485" showDropDown="0" showInputMessage="0" showErrorMessage="1" allowBlank="1" errorTitle="Inválido" error="Não pode ser negativo." type="decimal" errorStyle="stop" operator="greaterThanOrEqual">
      <formula1>0</formula1>
    </dataValidation>
    <dataValidation sqref="H485" showDropDown="0" showInputMessage="0" showErrorMessage="1" allowBlank="1" errorTitle="Rejeição maior que o apresentado" error="A rejeição não pode ser maior que a quantidade apresentada." type="custom" errorStyle="stop">
      <formula1>AND(H485&gt;=0,H485&lt;=G485)</formula1>
    </dataValidation>
    <dataValidation sqref="A486" showDropDown="0" showInputMessage="0" showErrorMessage="1" allowBlank="1" errorTitle="Número de recebimento inválido" error="Escolha um número de recebimento já lançado na seção 1." type="list">
      <formula1>=$A$7:$A$56</formula1>
    </dataValidation>
    <dataValidation sqref="D486" showDropDown="0" showInputMessage="0" showErrorMessage="1" allowBlank="1" errorTitle="Código não cadastrado" error="Escolha um código de escola da lista." type="list">
      <formula1>='Entrada de Dados'!$A$6:$A$196</formula1>
    </dataValidation>
    <dataValidation sqref="G486" showDropDown="0" showInputMessage="0" showErrorMessage="1" allowBlank="1" errorTitle="Inválido" error="Não pode ser negativo." type="decimal" errorStyle="stop" operator="greaterThanOrEqual">
      <formula1>0</formula1>
    </dataValidation>
    <dataValidation sqref="H486" showDropDown="0" showInputMessage="0" showErrorMessage="1" allowBlank="1" errorTitle="Rejeição maior que o apresentado" error="A rejeição não pode ser maior que a quantidade apresentada." type="custom" errorStyle="stop">
      <formula1>AND(H486&gt;=0,H486&lt;=G486)</formula1>
    </dataValidation>
    <dataValidation sqref="A487" showDropDown="0" showInputMessage="0" showErrorMessage="1" allowBlank="1" errorTitle="Número de recebimento inválido" error="Escolha um número de recebimento já lançado na seção 1." type="list">
      <formula1>=$A$7:$A$56</formula1>
    </dataValidation>
    <dataValidation sqref="D487" showDropDown="0" showInputMessage="0" showErrorMessage="1" allowBlank="1" errorTitle="Código não cadastrado" error="Escolha um código de escola da lista." type="list">
      <formula1>='Entrada de Dados'!$A$6:$A$196</formula1>
    </dataValidation>
    <dataValidation sqref="G487" showDropDown="0" showInputMessage="0" showErrorMessage="1" allowBlank="1" errorTitle="Inválido" error="Não pode ser negativo." type="decimal" errorStyle="stop" operator="greaterThanOrEqual">
      <formula1>0</formula1>
    </dataValidation>
    <dataValidation sqref="H487" showDropDown="0" showInputMessage="0" showErrorMessage="1" allowBlank="1" errorTitle="Rejeição maior que o apresentado" error="A rejeição não pode ser maior que a quantidade apresentada." type="custom" errorStyle="stop">
      <formula1>AND(H487&gt;=0,H487&lt;=G487)</formula1>
    </dataValidation>
    <dataValidation sqref="A488" showDropDown="0" showInputMessage="0" showErrorMessage="1" allowBlank="1" errorTitle="Número de recebimento inválido" error="Escolha um número de recebimento já lançado na seção 1." type="list">
      <formula1>=$A$7:$A$56</formula1>
    </dataValidation>
    <dataValidation sqref="D488" showDropDown="0" showInputMessage="0" showErrorMessage="1" allowBlank="1" errorTitle="Código não cadastrado" error="Escolha um código de escola da lista." type="list">
      <formula1>='Entrada de Dados'!$A$6:$A$196</formula1>
    </dataValidation>
    <dataValidation sqref="G488" showDropDown="0" showInputMessage="0" showErrorMessage="1" allowBlank="1" errorTitle="Inválido" error="Não pode ser negativo." type="decimal" errorStyle="stop" operator="greaterThanOrEqual">
      <formula1>0</formula1>
    </dataValidation>
    <dataValidation sqref="H488" showDropDown="0" showInputMessage="0" showErrorMessage="1" allowBlank="1" errorTitle="Rejeição maior que o apresentado" error="A rejeição não pode ser maior que a quantidade apresentada." type="custom" errorStyle="stop">
      <formula1>AND(H488&gt;=0,H488&lt;=G488)</formula1>
    </dataValidation>
    <dataValidation sqref="A489" showDropDown="0" showInputMessage="0" showErrorMessage="1" allowBlank="1" errorTitle="Número de recebimento inválido" error="Escolha um número de recebimento já lançado na seção 1." type="list">
      <formula1>=$A$7:$A$56</formula1>
    </dataValidation>
    <dataValidation sqref="D489" showDropDown="0" showInputMessage="0" showErrorMessage="1" allowBlank="1" errorTitle="Código não cadastrado" error="Escolha um código de escola da lista." type="list">
      <formula1>='Entrada de Dados'!$A$6:$A$196</formula1>
    </dataValidation>
    <dataValidation sqref="G489" showDropDown="0" showInputMessage="0" showErrorMessage="1" allowBlank="1" errorTitle="Inválido" error="Não pode ser negativo." type="decimal" errorStyle="stop" operator="greaterThanOrEqual">
      <formula1>0</formula1>
    </dataValidation>
    <dataValidation sqref="H489" showDropDown="0" showInputMessage="0" showErrorMessage="1" allowBlank="1" errorTitle="Rejeição maior que o apresentado" error="A rejeição não pode ser maior que a quantidade apresentada." type="custom" errorStyle="stop">
      <formula1>AND(H489&gt;=0,H489&lt;=G489)</formula1>
    </dataValidation>
    <dataValidation sqref="A490" showDropDown="0" showInputMessage="0" showErrorMessage="1" allowBlank="1" errorTitle="Número de recebimento inválido" error="Escolha um número de recebimento já lançado na seção 1." type="list">
      <formula1>=$A$7:$A$56</formula1>
    </dataValidation>
    <dataValidation sqref="D490" showDropDown="0" showInputMessage="0" showErrorMessage="1" allowBlank="1" errorTitle="Código não cadastrado" error="Escolha um código de escola da lista." type="list">
      <formula1>='Entrada de Dados'!$A$6:$A$196</formula1>
    </dataValidation>
    <dataValidation sqref="G490" showDropDown="0" showInputMessage="0" showErrorMessage="1" allowBlank="1" errorTitle="Inválido" error="Não pode ser negativo." type="decimal" errorStyle="stop" operator="greaterThanOrEqual">
      <formula1>0</formula1>
    </dataValidation>
    <dataValidation sqref="H490" showDropDown="0" showInputMessage="0" showErrorMessage="1" allowBlank="1" errorTitle="Rejeição maior que o apresentado" error="A rejeição não pode ser maior que a quantidade apresentada." type="custom" errorStyle="stop">
      <formula1>AND(H490&gt;=0,H490&lt;=G490)</formula1>
    </dataValidation>
    <dataValidation sqref="A491" showDropDown="0" showInputMessage="0" showErrorMessage="1" allowBlank="1" errorTitle="Número de recebimento inválido" error="Escolha um número de recebimento já lançado na seção 1." type="list">
      <formula1>=$A$7:$A$56</formula1>
    </dataValidation>
    <dataValidation sqref="D491" showDropDown="0" showInputMessage="0" showErrorMessage="1" allowBlank="1" errorTitle="Código não cadastrado" error="Escolha um código de escola da lista." type="list">
      <formula1>='Entrada de Dados'!$A$6:$A$196</formula1>
    </dataValidation>
    <dataValidation sqref="G491" showDropDown="0" showInputMessage="0" showErrorMessage="1" allowBlank="1" errorTitle="Inválido" error="Não pode ser negativo." type="decimal" errorStyle="stop" operator="greaterThanOrEqual">
      <formula1>0</formula1>
    </dataValidation>
    <dataValidation sqref="H491" showDropDown="0" showInputMessage="0" showErrorMessage="1" allowBlank="1" errorTitle="Rejeição maior que o apresentado" error="A rejeição não pode ser maior que a quantidade apresentada." type="custom" errorStyle="stop">
      <formula1>AND(H491&gt;=0,H491&lt;=G491)</formula1>
    </dataValidation>
    <dataValidation sqref="A492" showDropDown="0" showInputMessage="0" showErrorMessage="1" allowBlank="1" errorTitle="Número de recebimento inválido" error="Escolha um número de recebimento já lançado na seção 1." type="list">
      <formula1>=$A$7:$A$56</formula1>
    </dataValidation>
    <dataValidation sqref="D492" showDropDown="0" showInputMessage="0" showErrorMessage="1" allowBlank="1" errorTitle="Código não cadastrado" error="Escolha um código de escola da lista." type="list">
      <formula1>='Entrada de Dados'!$A$6:$A$196</formula1>
    </dataValidation>
    <dataValidation sqref="G492" showDropDown="0" showInputMessage="0" showErrorMessage="1" allowBlank="1" errorTitle="Inválido" error="Não pode ser negativo." type="decimal" errorStyle="stop" operator="greaterThanOrEqual">
      <formula1>0</formula1>
    </dataValidation>
    <dataValidation sqref="H492" showDropDown="0" showInputMessage="0" showErrorMessage="1" allowBlank="1" errorTitle="Rejeição maior que o apresentado" error="A rejeição não pode ser maior que a quantidade apresentada." type="custom" errorStyle="stop">
      <formula1>AND(H492&gt;=0,H492&lt;=G492)</formula1>
    </dataValidation>
    <dataValidation sqref="A493" showDropDown="0" showInputMessage="0" showErrorMessage="1" allowBlank="1" errorTitle="Número de recebimento inválido" error="Escolha um número de recebimento já lançado na seção 1." type="list">
      <formula1>=$A$7:$A$56</formula1>
    </dataValidation>
    <dataValidation sqref="D493" showDropDown="0" showInputMessage="0" showErrorMessage="1" allowBlank="1" errorTitle="Código não cadastrado" error="Escolha um código de escola da lista." type="list">
      <formula1>='Entrada de Dados'!$A$6:$A$196</formula1>
    </dataValidation>
    <dataValidation sqref="G493" showDropDown="0" showInputMessage="0" showErrorMessage="1" allowBlank="1" errorTitle="Inválido" error="Não pode ser negativo." type="decimal" errorStyle="stop" operator="greaterThanOrEqual">
      <formula1>0</formula1>
    </dataValidation>
    <dataValidation sqref="H493" showDropDown="0" showInputMessage="0" showErrorMessage="1" allowBlank="1" errorTitle="Rejeição maior que o apresentado" error="A rejeição não pode ser maior que a quantidade apresentada." type="custom" errorStyle="stop">
      <formula1>AND(H493&gt;=0,H493&lt;=G493)</formula1>
    </dataValidation>
    <dataValidation sqref="A494" showDropDown="0" showInputMessage="0" showErrorMessage="1" allowBlank="1" errorTitle="Número de recebimento inválido" error="Escolha um número de recebimento já lançado na seção 1." type="list">
      <formula1>=$A$7:$A$56</formula1>
    </dataValidation>
    <dataValidation sqref="D494" showDropDown="0" showInputMessage="0" showErrorMessage="1" allowBlank="1" errorTitle="Código não cadastrado" error="Escolha um código de escola da lista." type="list">
      <formula1>='Entrada de Dados'!$A$6:$A$196</formula1>
    </dataValidation>
    <dataValidation sqref="G494" showDropDown="0" showInputMessage="0" showErrorMessage="1" allowBlank="1" errorTitle="Inválido" error="Não pode ser negativo." type="decimal" errorStyle="stop" operator="greaterThanOrEqual">
      <formula1>0</formula1>
    </dataValidation>
    <dataValidation sqref="H494" showDropDown="0" showInputMessage="0" showErrorMessage="1" allowBlank="1" errorTitle="Rejeição maior que o apresentado" error="A rejeição não pode ser maior que a quantidade apresentada." type="custom" errorStyle="stop">
      <formula1>AND(H494&gt;=0,H494&lt;=G494)</formula1>
    </dataValidation>
    <dataValidation sqref="A495" showDropDown="0" showInputMessage="0" showErrorMessage="1" allowBlank="1" errorTitle="Número de recebimento inválido" error="Escolha um número de recebimento já lançado na seção 1." type="list">
      <formula1>=$A$7:$A$56</formula1>
    </dataValidation>
    <dataValidation sqref="D495" showDropDown="0" showInputMessage="0" showErrorMessage="1" allowBlank="1" errorTitle="Código não cadastrado" error="Escolha um código de escola da lista." type="list">
      <formula1>='Entrada de Dados'!$A$6:$A$196</formula1>
    </dataValidation>
    <dataValidation sqref="G495" showDropDown="0" showInputMessage="0" showErrorMessage="1" allowBlank="1" errorTitle="Inválido" error="Não pode ser negativo." type="decimal" errorStyle="stop" operator="greaterThanOrEqual">
      <formula1>0</formula1>
    </dataValidation>
    <dataValidation sqref="H495" showDropDown="0" showInputMessage="0" showErrorMessage="1" allowBlank="1" errorTitle="Rejeição maior que o apresentado" error="A rejeição não pode ser maior que a quantidade apresentada." type="custom" errorStyle="stop">
      <formula1>AND(H495&gt;=0,H495&lt;=G495)</formula1>
    </dataValidation>
    <dataValidation sqref="A496" showDropDown="0" showInputMessage="0" showErrorMessage="1" allowBlank="1" errorTitle="Número de recebimento inválido" error="Escolha um número de recebimento já lançado na seção 1." type="list">
      <formula1>=$A$7:$A$56</formula1>
    </dataValidation>
    <dataValidation sqref="D496" showDropDown="0" showInputMessage="0" showErrorMessage="1" allowBlank="1" errorTitle="Código não cadastrado" error="Escolha um código de escola da lista." type="list">
      <formula1>='Entrada de Dados'!$A$6:$A$196</formula1>
    </dataValidation>
    <dataValidation sqref="G496" showDropDown="0" showInputMessage="0" showErrorMessage="1" allowBlank="1" errorTitle="Inválido" error="Não pode ser negativo." type="decimal" errorStyle="stop" operator="greaterThanOrEqual">
      <formula1>0</formula1>
    </dataValidation>
    <dataValidation sqref="H496" showDropDown="0" showInputMessage="0" showErrorMessage="1" allowBlank="1" errorTitle="Rejeição maior que o apresentado" error="A rejeição não pode ser maior que a quantidade apresentada." type="custom" errorStyle="stop">
      <formula1>AND(H496&gt;=0,H496&lt;=G496)</formula1>
    </dataValidation>
    <dataValidation sqref="A497" showDropDown="0" showInputMessage="0" showErrorMessage="1" allowBlank="1" errorTitle="Número de recebimento inválido" error="Escolha um número de recebimento já lançado na seção 1." type="list">
      <formula1>=$A$7:$A$56</formula1>
    </dataValidation>
    <dataValidation sqref="D497" showDropDown="0" showInputMessage="0" showErrorMessage="1" allowBlank="1" errorTitle="Código não cadastrado" error="Escolha um código de escola da lista." type="list">
      <formula1>='Entrada de Dados'!$A$6:$A$196</formula1>
    </dataValidation>
    <dataValidation sqref="G497" showDropDown="0" showInputMessage="0" showErrorMessage="1" allowBlank="1" errorTitle="Inválido" error="Não pode ser negativo." type="decimal" errorStyle="stop" operator="greaterThanOrEqual">
      <formula1>0</formula1>
    </dataValidation>
    <dataValidation sqref="H497" showDropDown="0" showInputMessage="0" showErrorMessage="1" allowBlank="1" errorTitle="Rejeição maior que o apresentado" error="A rejeição não pode ser maior que a quantidade apresentada." type="custom" errorStyle="stop">
      <formula1>AND(H497&gt;=0,H497&lt;=G497)</formula1>
    </dataValidation>
    <dataValidation sqref="A498" showDropDown="0" showInputMessage="0" showErrorMessage="1" allowBlank="1" errorTitle="Número de recebimento inválido" error="Escolha um número de recebimento já lançado na seção 1." type="list">
      <formula1>=$A$7:$A$56</formula1>
    </dataValidation>
    <dataValidation sqref="D498" showDropDown="0" showInputMessage="0" showErrorMessage="1" allowBlank="1" errorTitle="Código não cadastrado" error="Escolha um código de escola da lista." type="list">
      <formula1>='Entrada de Dados'!$A$6:$A$196</formula1>
    </dataValidation>
    <dataValidation sqref="G498" showDropDown="0" showInputMessage="0" showErrorMessage="1" allowBlank="1" errorTitle="Inválido" error="Não pode ser negativo." type="decimal" errorStyle="stop" operator="greaterThanOrEqual">
      <formula1>0</formula1>
    </dataValidation>
    <dataValidation sqref="H498" showDropDown="0" showInputMessage="0" showErrorMessage="1" allowBlank="1" errorTitle="Rejeição maior que o apresentado" error="A rejeição não pode ser maior que a quantidade apresentada." type="custom" errorStyle="stop">
      <formula1>AND(H498&gt;=0,H498&lt;=G498)</formula1>
    </dataValidation>
    <dataValidation sqref="A499" showDropDown="0" showInputMessage="0" showErrorMessage="1" allowBlank="1" errorTitle="Número de recebimento inválido" error="Escolha um número de recebimento já lançado na seção 1." type="list">
      <formula1>=$A$7:$A$56</formula1>
    </dataValidation>
    <dataValidation sqref="D499" showDropDown="0" showInputMessage="0" showErrorMessage="1" allowBlank="1" errorTitle="Código não cadastrado" error="Escolha um código de escola da lista." type="list">
      <formula1>='Entrada de Dados'!$A$6:$A$196</formula1>
    </dataValidation>
    <dataValidation sqref="G499" showDropDown="0" showInputMessage="0" showErrorMessage="1" allowBlank="1" errorTitle="Inválido" error="Não pode ser negativo." type="decimal" errorStyle="stop" operator="greaterThanOrEqual">
      <formula1>0</formula1>
    </dataValidation>
    <dataValidation sqref="H499" showDropDown="0" showInputMessage="0" showErrorMessage="1" allowBlank="1" errorTitle="Rejeição maior que o apresentado" error="A rejeição não pode ser maior que a quantidade apresentada." type="custom" errorStyle="stop">
      <formula1>AND(H499&gt;=0,H499&lt;=G499)</formula1>
    </dataValidation>
    <dataValidation sqref="A500" showDropDown="0" showInputMessage="0" showErrorMessage="1" allowBlank="1" errorTitle="Número de recebimento inválido" error="Escolha um número de recebimento já lançado na seção 1." type="list">
      <formula1>=$A$7:$A$56</formula1>
    </dataValidation>
    <dataValidation sqref="D500" showDropDown="0" showInputMessage="0" showErrorMessage="1" allowBlank="1" errorTitle="Código não cadastrado" error="Escolha um código de escola da lista." type="list">
      <formula1>='Entrada de Dados'!$A$6:$A$196</formula1>
    </dataValidation>
    <dataValidation sqref="G500" showDropDown="0" showInputMessage="0" showErrorMessage="1" allowBlank="1" errorTitle="Inválido" error="Não pode ser negativo." type="decimal" errorStyle="stop" operator="greaterThanOrEqual">
      <formula1>0</formula1>
    </dataValidation>
    <dataValidation sqref="H500" showDropDown="0" showInputMessage="0" showErrorMessage="1" allowBlank="1" errorTitle="Rejeição maior que o apresentado" error="A rejeição não pode ser maior que a quantidade apresentada." type="custom" errorStyle="stop">
      <formula1>AND(H500&gt;=0,H500&lt;=G500)</formula1>
    </dataValidation>
    <dataValidation sqref="A501" showDropDown="0" showInputMessage="0" showErrorMessage="1" allowBlank="1" errorTitle="Número de recebimento inválido" error="Escolha um número de recebimento já lançado na seção 1." type="list">
      <formula1>=$A$7:$A$56</formula1>
    </dataValidation>
    <dataValidation sqref="D501" showDropDown="0" showInputMessage="0" showErrorMessage="1" allowBlank="1" errorTitle="Código não cadastrado" error="Escolha um código de escola da lista." type="list">
      <formula1>='Entrada de Dados'!$A$6:$A$196</formula1>
    </dataValidation>
    <dataValidation sqref="G501" showDropDown="0" showInputMessage="0" showErrorMessage="1" allowBlank="1" errorTitle="Inválido" error="Não pode ser negativo." type="decimal" errorStyle="stop" operator="greaterThanOrEqual">
      <formula1>0</formula1>
    </dataValidation>
    <dataValidation sqref="H501" showDropDown="0" showInputMessage="0" showErrorMessage="1" allowBlank="1" errorTitle="Rejeição maior que o apresentado" error="A rejeição não pode ser maior que a quantidade apresentada." type="custom" errorStyle="stop">
      <formula1>AND(H501&gt;=0,H501&lt;=G501)</formula1>
    </dataValidation>
    <dataValidation sqref="A502" showDropDown="0" showInputMessage="0" showErrorMessage="1" allowBlank="1" errorTitle="Número de recebimento inválido" error="Escolha um número de recebimento já lançado na seção 1." type="list">
      <formula1>=$A$7:$A$56</formula1>
    </dataValidation>
    <dataValidation sqref="D502" showDropDown="0" showInputMessage="0" showErrorMessage="1" allowBlank="1" errorTitle="Código não cadastrado" error="Escolha um código de escola da lista." type="list">
      <formula1>='Entrada de Dados'!$A$6:$A$196</formula1>
    </dataValidation>
    <dataValidation sqref="G502" showDropDown="0" showInputMessage="0" showErrorMessage="1" allowBlank="1" errorTitle="Inválido" error="Não pode ser negativo." type="decimal" errorStyle="stop" operator="greaterThanOrEqual">
      <formula1>0</formula1>
    </dataValidation>
    <dataValidation sqref="H502" showDropDown="0" showInputMessage="0" showErrorMessage="1" allowBlank="1" errorTitle="Rejeição maior que o apresentado" error="A rejeição não pode ser maior que a quantidade apresentada." type="custom" errorStyle="stop">
      <formula1>AND(H502&gt;=0,H502&lt;=G502)</formula1>
    </dataValidation>
    <dataValidation sqref="A503" showDropDown="0" showInputMessage="0" showErrorMessage="1" allowBlank="1" errorTitle="Número de recebimento inválido" error="Escolha um número de recebimento já lançado na seção 1." type="list">
      <formula1>=$A$7:$A$56</formula1>
    </dataValidation>
    <dataValidation sqref="D503" showDropDown="0" showInputMessage="0" showErrorMessage="1" allowBlank="1" errorTitle="Código não cadastrado" error="Escolha um código de escola da lista." type="list">
      <formula1>='Entrada de Dados'!$A$6:$A$196</formula1>
    </dataValidation>
    <dataValidation sqref="G503" showDropDown="0" showInputMessage="0" showErrorMessage="1" allowBlank="1" errorTitle="Inválido" error="Não pode ser negativo." type="decimal" errorStyle="stop" operator="greaterThanOrEqual">
      <formula1>0</formula1>
    </dataValidation>
    <dataValidation sqref="H503" showDropDown="0" showInputMessage="0" showErrorMessage="1" allowBlank="1" errorTitle="Rejeição maior que o apresentado" error="A rejeição não pode ser maior que a quantidade apresentada." type="custom" errorStyle="stop">
      <formula1>AND(H503&gt;=0,H503&lt;=G503)</formula1>
    </dataValidation>
    <dataValidation sqref="A504" showDropDown="0" showInputMessage="0" showErrorMessage="1" allowBlank="1" errorTitle="Número de recebimento inválido" error="Escolha um número de recebimento já lançado na seção 1." type="list">
      <formula1>=$A$7:$A$56</formula1>
    </dataValidation>
    <dataValidation sqref="D504" showDropDown="0" showInputMessage="0" showErrorMessage="1" allowBlank="1" errorTitle="Código não cadastrado" error="Escolha um código de escola da lista." type="list">
      <formula1>='Entrada de Dados'!$A$6:$A$196</formula1>
    </dataValidation>
    <dataValidation sqref="G504" showDropDown="0" showInputMessage="0" showErrorMessage="1" allowBlank="1" errorTitle="Inválido" error="Não pode ser negativo." type="decimal" errorStyle="stop" operator="greaterThanOrEqual">
      <formula1>0</formula1>
    </dataValidation>
    <dataValidation sqref="H504" showDropDown="0" showInputMessage="0" showErrorMessage="1" allowBlank="1" errorTitle="Rejeição maior que o apresentado" error="A rejeição não pode ser maior que a quantidade apresentada." type="custom" errorStyle="stop">
      <formula1>AND(H504&gt;=0,H504&lt;=G504)</formula1>
    </dataValidation>
    <dataValidation sqref="A505" showDropDown="0" showInputMessage="0" showErrorMessage="1" allowBlank="1" errorTitle="Número de recebimento inválido" error="Escolha um número de recebimento já lançado na seção 1." type="list">
      <formula1>=$A$7:$A$56</formula1>
    </dataValidation>
    <dataValidation sqref="D505" showDropDown="0" showInputMessage="0" showErrorMessage="1" allowBlank="1" errorTitle="Código não cadastrado" error="Escolha um código de escola da lista." type="list">
      <formula1>='Entrada de Dados'!$A$6:$A$196</formula1>
    </dataValidation>
    <dataValidation sqref="G505" showDropDown="0" showInputMessage="0" showErrorMessage="1" allowBlank="1" errorTitle="Inválido" error="Não pode ser negativo." type="decimal" errorStyle="stop" operator="greaterThanOrEqual">
      <formula1>0</formula1>
    </dataValidation>
    <dataValidation sqref="H505" showDropDown="0" showInputMessage="0" showErrorMessage="1" allowBlank="1" errorTitle="Rejeição maior que o apresentado" error="A rejeição não pode ser maior que a quantidade apresentada." type="custom" errorStyle="stop">
      <formula1>AND(H505&gt;=0,H505&lt;=G505)</formula1>
    </dataValidation>
    <dataValidation sqref="A506" showDropDown="0" showInputMessage="0" showErrorMessage="1" allowBlank="1" errorTitle="Número de recebimento inválido" error="Escolha um número de recebimento já lançado na seção 1." type="list">
      <formula1>=$A$7:$A$56</formula1>
    </dataValidation>
    <dataValidation sqref="D506" showDropDown="0" showInputMessage="0" showErrorMessage="1" allowBlank="1" errorTitle="Código não cadastrado" error="Escolha um código de escola da lista." type="list">
      <formula1>='Entrada de Dados'!$A$6:$A$196</formula1>
    </dataValidation>
    <dataValidation sqref="G506" showDropDown="0" showInputMessage="0" showErrorMessage="1" allowBlank="1" errorTitle="Inválido" error="Não pode ser negativo." type="decimal" errorStyle="stop" operator="greaterThanOrEqual">
      <formula1>0</formula1>
    </dataValidation>
    <dataValidation sqref="H506" showDropDown="0" showInputMessage="0" showErrorMessage="1" allowBlank="1" errorTitle="Rejeição maior que o apresentado" error="A rejeição não pode ser maior que a quantidade apresentada." type="custom" errorStyle="stop">
      <formula1>AND(H506&gt;=0,H506&lt;=G506)</formula1>
    </dataValidation>
    <dataValidation sqref="A507" showDropDown="0" showInputMessage="0" showErrorMessage="1" allowBlank="1" errorTitle="Número de recebimento inválido" error="Escolha um número de recebimento já lançado na seção 1." type="list">
      <formula1>=$A$7:$A$56</formula1>
    </dataValidation>
    <dataValidation sqref="D507" showDropDown="0" showInputMessage="0" showErrorMessage="1" allowBlank="1" errorTitle="Código não cadastrado" error="Escolha um código de escola da lista." type="list">
      <formula1>='Entrada de Dados'!$A$6:$A$196</formula1>
    </dataValidation>
    <dataValidation sqref="G507" showDropDown="0" showInputMessage="0" showErrorMessage="1" allowBlank="1" errorTitle="Inválido" error="Não pode ser negativo." type="decimal" errorStyle="stop" operator="greaterThanOrEqual">
      <formula1>0</formula1>
    </dataValidation>
    <dataValidation sqref="H507" showDropDown="0" showInputMessage="0" showErrorMessage="1" allowBlank="1" errorTitle="Rejeição maior que o apresentado" error="A rejeição não pode ser maior que a quantidade apresentada." type="custom" errorStyle="stop">
      <formula1>AND(H507&gt;=0,H507&lt;=G507)</formula1>
    </dataValidation>
    <dataValidation sqref="A508" showDropDown="0" showInputMessage="0" showErrorMessage="1" allowBlank="1" errorTitle="Número de recebimento inválido" error="Escolha um número de recebimento já lançado na seção 1." type="list">
      <formula1>=$A$7:$A$56</formula1>
    </dataValidation>
    <dataValidation sqref="D508" showDropDown="0" showInputMessage="0" showErrorMessage="1" allowBlank="1" errorTitle="Código não cadastrado" error="Escolha um código de escola da lista." type="list">
      <formula1>='Entrada de Dados'!$A$6:$A$196</formula1>
    </dataValidation>
    <dataValidation sqref="G508" showDropDown="0" showInputMessage="0" showErrorMessage="1" allowBlank="1" errorTitle="Inválido" error="Não pode ser negativo." type="decimal" errorStyle="stop" operator="greaterThanOrEqual">
      <formula1>0</formula1>
    </dataValidation>
    <dataValidation sqref="H508" showDropDown="0" showInputMessage="0" showErrorMessage="1" allowBlank="1" errorTitle="Rejeição maior que o apresentado" error="A rejeição não pode ser maior que a quantidade apresentada." type="custom" errorStyle="stop">
      <formula1>AND(H508&gt;=0,H508&lt;=G508)</formula1>
    </dataValidation>
    <dataValidation sqref="A509" showDropDown="0" showInputMessage="0" showErrorMessage="1" allowBlank="1" errorTitle="Número de recebimento inválido" error="Escolha um número de recebimento já lançado na seção 1." type="list">
      <formula1>=$A$7:$A$56</formula1>
    </dataValidation>
    <dataValidation sqref="D509" showDropDown="0" showInputMessage="0" showErrorMessage="1" allowBlank="1" errorTitle="Código não cadastrado" error="Escolha um código de escola da lista." type="list">
      <formula1>='Entrada de Dados'!$A$6:$A$196</formula1>
    </dataValidation>
    <dataValidation sqref="G509" showDropDown="0" showInputMessage="0" showErrorMessage="1" allowBlank="1" errorTitle="Inválido" error="Não pode ser negativo." type="decimal" errorStyle="stop" operator="greaterThanOrEqual">
      <formula1>0</formula1>
    </dataValidation>
    <dataValidation sqref="H509" showDropDown="0" showInputMessage="0" showErrorMessage="1" allowBlank="1" errorTitle="Rejeição maior que o apresentado" error="A rejeição não pode ser maior que a quantidade apresentada." type="custom" errorStyle="stop">
      <formula1>AND(H509&gt;=0,H509&lt;=G509)</formula1>
    </dataValidation>
    <dataValidation sqref="A510" showDropDown="0" showInputMessage="0" showErrorMessage="1" allowBlank="1" errorTitle="Número de recebimento inválido" error="Escolha um número de recebimento já lançado na seção 1." type="list">
      <formula1>=$A$7:$A$56</formula1>
    </dataValidation>
    <dataValidation sqref="D510" showDropDown="0" showInputMessage="0" showErrorMessage="1" allowBlank="1" errorTitle="Código não cadastrado" error="Escolha um código de escola da lista." type="list">
      <formula1>='Entrada de Dados'!$A$6:$A$196</formula1>
    </dataValidation>
    <dataValidation sqref="G510" showDropDown="0" showInputMessage="0" showErrorMessage="1" allowBlank="1" errorTitle="Inválido" error="Não pode ser negativo." type="decimal" errorStyle="stop" operator="greaterThanOrEqual">
      <formula1>0</formula1>
    </dataValidation>
    <dataValidation sqref="H510" showDropDown="0" showInputMessage="0" showErrorMessage="1" allowBlank="1" errorTitle="Rejeição maior que o apresentado" error="A rejeição não pode ser maior que a quantidade apresentada." type="custom" errorStyle="stop">
      <formula1>AND(H510&gt;=0,H510&lt;=G510)</formula1>
    </dataValidation>
    <dataValidation sqref="A511" showDropDown="0" showInputMessage="0" showErrorMessage="1" allowBlank="1" errorTitle="Número de recebimento inválido" error="Escolha um número de recebimento já lançado na seção 1." type="list">
      <formula1>=$A$7:$A$56</formula1>
    </dataValidation>
    <dataValidation sqref="D511" showDropDown="0" showInputMessage="0" showErrorMessage="1" allowBlank="1" errorTitle="Código não cadastrado" error="Escolha um código de escola da lista." type="list">
      <formula1>='Entrada de Dados'!$A$6:$A$196</formula1>
    </dataValidation>
    <dataValidation sqref="G511" showDropDown="0" showInputMessage="0" showErrorMessage="1" allowBlank="1" errorTitle="Inválido" error="Não pode ser negativo." type="decimal" errorStyle="stop" operator="greaterThanOrEqual">
      <formula1>0</formula1>
    </dataValidation>
    <dataValidation sqref="H511" showDropDown="0" showInputMessage="0" showErrorMessage="1" allowBlank="1" errorTitle="Rejeição maior que o apresentado" error="A rejeição não pode ser maior que a quantidade apresentada." type="custom" errorStyle="stop">
      <formula1>AND(H511&gt;=0,H511&lt;=G511)</formula1>
    </dataValidation>
    <dataValidation sqref="A512" showDropDown="0" showInputMessage="0" showErrorMessage="1" allowBlank="1" errorTitle="Número de recebimento inválido" error="Escolha um número de recebimento já lançado na seção 1." type="list">
      <formula1>=$A$7:$A$56</formula1>
    </dataValidation>
    <dataValidation sqref="D512" showDropDown="0" showInputMessage="0" showErrorMessage="1" allowBlank="1" errorTitle="Código não cadastrado" error="Escolha um código de escola da lista." type="list">
      <formula1>='Entrada de Dados'!$A$6:$A$196</formula1>
    </dataValidation>
    <dataValidation sqref="G512" showDropDown="0" showInputMessage="0" showErrorMessage="1" allowBlank="1" errorTitle="Inválido" error="Não pode ser negativo." type="decimal" errorStyle="stop" operator="greaterThanOrEqual">
      <formula1>0</formula1>
    </dataValidation>
    <dataValidation sqref="H512" showDropDown="0" showInputMessage="0" showErrorMessage="1" allowBlank="1" errorTitle="Rejeição maior que o apresentado" error="A rejeição não pode ser maior que a quantidade apresentada." type="custom" errorStyle="stop">
      <formula1>AND(H512&gt;=0,H512&lt;=G512)</formula1>
    </dataValidation>
    <dataValidation sqref="A513" showDropDown="0" showInputMessage="0" showErrorMessage="1" allowBlank="1" errorTitle="Número de recebimento inválido" error="Escolha um número de recebimento já lançado na seção 1." type="list">
      <formula1>=$A$7:$A$56</formula1>
    </dataValidation>
    <dataValidation sqref="D513" showDropDown="0" showInputMessage="0" showErrorMessage="1" allowBlank="1" errorTitle="Código não cadastrado" error="Escolha um código de escola da lista." type="list">
      <formula1>='Entrada de Dados'!$A$6:$A$196</formula1>
    </dataValidation>
    <dataValidation sqref="G513" showDropDown="0" showInputMessage="0" showErrorMessage="1" allowBlank="1" errorTitle="Inválido" error="Não pode ser negativo." type="decimal" errorStyle="stop" operator="greaterThanOrEqual">
      <formula1>0</formula1>
    </dataValidation>
    <dataValidation sqref="H513" showDropDown="0" showInputMessage="0" showErrorMessage="1" allowBlank="1" errorTitle="Rejeição maior que o apresentado" error="A rejeição não pode ser maior que a quantidade apresentada." type="custom" errorStyle="stop">
      <formula1>AND(H513&gt;=0,H513&lt;=G513)</formula1>
    </dataValidation>
    <dataValidation sqref="A514" showDropDown="0" showInputMessage="0" showErrorMessage="1" allowBlank="1" errorTitle="Número de recebimento inválido" error="Escolha um número de recebimento já lançado na seção 1." type="list">
      <formula1>=$A$7:$A$56</formula1>
    </dataValidation>
    <dataValidation sqref="D514" showDropDown="0" showInputMessage="0" showErrorMessage="1" allowBlank="1" errorTitle="Código não cadastrado" error="Escolha um código de escola da lista." type="list">
      <formula1>='Entrada de Dados'!$A$6:$A$196</formula1>
    </dataValidation>
    <dataValidation sqref="G514" showDropDown="0" showInputMessage="0" showErrorMessage="1" allowBlank="1" errorTitle="Inválido" error="Não pode ser negativo." type="decimal" errorStyle="stop" operator="greaterThanOrEqual">
      <formula1>0</formula1>
    </dataValidation>
    <dataValidation sqref="H514" showDropDown="0" showInputMessage="0" showErrorMessage="1" allowBlank="1" errorTitle="Rejeição maior que o apresentado" error="A rejeição não pode ser maior que a quantidade apresentada." type="custom" errorStyle="stop">
      <formula1>AND(H514&gt;=0,H514&lt;=G514)</formula1>
    </dataValidation>
    <dataValidation sqref="A515" showDropDown="0" showInputMessage="0" showErrorMessage="1" allowBlank="1" errorTitle="Número de recebimento inválido" error="Escolha um número de recebimento já lançado na seção 1." type="list">
      <formula1>=$A$7:$A$56</formula1>
    </dataValidation>
    <dataValidation sqref="D515" showDropDown="0" showInputMessage="0" showErrorMessage="1" allowBlank="1" errorTitle="Código não cadastrado" error="Escolha um código de escola da lista." type="list">
      <formula1>='Entrada de Dados'!$A$6:$A$196</formula1>
    </dataValidation>
    <dataValidation sqref="G515" showDropDown="0" showInputMessage="0" showErrorMessage="1" allowBlank="1" errorTitle="Inválido" error="Não pode ser negativo." type="decimal" errorStyle="stop" operator="greaterThanOrEqual">
      <formula1>0</formula1>
    </dataValidation>
    <dataValidation sqref="H515" showDropDown="0" showInputMessage="0" showErrorMessage="1" allowBlank="1" errorTitle="Rejeição maior que o apresentado" error="A rejeição não pode ser maior que a quantidade apresentada." type="custom" errorStyle="stop">
      <formula1>AND(H515&gt;=0,H515&lt;=G515)</formula1>
    </dataValidation>
    <dataValidation sqref="A516" showDropDown="0" showInputMessage="0" showErrorMessage="1" allowBlank="1" errorTitle="Número de recebimento inválido" error="Escolha um número de recebimento já lançado na seção 1." type="list">
      <formula1>=$A$7:$A$56</formula1>
    </dataValidation>
    <dataValidation sqref="D516" showDropDown="0" showInputMessage="0" showErrorMessage="1" allowBlank="1" errorTitle="Código não cadastrado" error="Escolha um código de escola da lista." type="list">
      <formula1>='Entrada de Dados'!$A$6:$A$196</formula1>
    </dataValidation>
    <dataValidation sqref="G516" showDropDown="0" showInputMessage="0" showErrorMessage="1" allowBlank="1" errorTitle="Inválido" error="Não pode ser negativo." type="decimal" errorStyle="stop" operator="greaterThanOrEqual">
      <formula1>0</formula1>
    </dataValidation>
    <dataValidation sqref="H516" showDropDown="0" showInputMessage="0" showErrorMessage="1" allowBlank="1" errorTitle="Rejeição maior que o apresentado" error="A rejeição não pode ser maior que a quantidade apresentada." type="custom" errorStyle="stop">
      <formula1>AND(H516&gt;=0,H516&lt;=G516)</formula1>
    </dataValidation>
    <dataValidation sqref="A517" showDropDown="0" showInputMessage="0" showErrorMessage="1" allowBlank="1" errorTitle="Número de recebimento inválido" error="Escolha um número de recebimento já lançado na seção 1." type="list">
      <formula1>=$A$7:$A$56</formula1>
    </dataValidation>
    <dataValidation sqref="D517" showDropDown="0" showInputMessage="0" showErrorMessage="1" allowBlank="1" errorTitle="Código não cadastrado" error="Escolha um código de escola da lista." type="list">
      <formula1>='Entrada de Dados'!$A$6:$A$196</formula1>
    </dataValidation>
    <dataValidation sqref="G517" showDropDown="0" showInputMessage="0" showErrorMessage="1" allowBlank="1" errorTitle="Inválido" error="Não pode ser negativo." type="decimal" errorStyle="stop" operator="greaterThanOrEqual">
      <formula1>0</formula1>
    </dataValidation>
    <dataValidation sqref="H517" showDropDown="0" showInputMessage="0" showErrorMessage="1" allowBlank="1" errorTitle="Rejeição maior que o apresentado" error="A rejeição não pode ser maior que a quantidade apresentada." type="custom" errorStyle="stop">
      <formula1>AND(H517&gt;=0,H517&lt;=G517)</formula1>
    </dataValidation>
    <dataValidation sqref="A518" showDropDown="0" showInputMessage="0" showErrorMessage="1" allowBlank="1" errorTitle="Número de recebimento inválido" error="Escolha um número de recebimento já lançado na seção 1." type="list">
      <formula1>=$A$7:$A$56</formula1>
    </dataValidation>
    <dataValidation sqref="D518" showDropDown="0" showInputMessage="0" showErrorMessage="1" allowBlank="1" errorTitle="Código não cadastrado" error="Escolha um código de escola da lista." type="list">
      <formula1>='Entrada de Dados'!$A$6:$A$196</formula1>
    </dataValidation>
    <dataValidation sqref="G518" showDropDown="0" showInputMessage="0" showErrorMessage="1" allowBlank="1" errorTitle="Inválido" error="Não pode ser negativo." type="decimal" errorStyle="stop" operator="greaterThanOrEqual">
      <formula1>0</formula1>
    </dataValidation>
    <dataValidation sqref="H518" showDropDown="0" showInputMessage="0" showErrorMessage="1" allowBlank="1" errorTitle="Rejeição maior que o apresentado" error="A rejeição não pode ser maior que a quantidade apresentada." type="custom" errorStyle="stop">
      <formula1>AND(H518&gt;=0,H518&lt;=G518)</formula1>
    </dataValidation>
    <dataValidation sqref="A519" showDropDown="0" showInputMessage="0" showErrorMessage="1" allowBlank="1" errorTitle="Número de recebimento inválido" error="Escolha um número de recebimento já lançado na seção 1." type="list">
      <formula1>=$A$7:$A$56</formula1>
    </dataValidation>
    <dataValidation sqref="D519" showDropDown="0" showInputMessage="0" showErrorMessage="1" allowBlank="1" errorTitle="Código não cadastrado" error="Escolha um código de escola da lista." type="list">
      <formula1>='Entrada de Dados'!$A$6:$A$196</formula1>
    </dataValidation>
    <dataValidation sqref="G519" showDropDown="0" showInputMessage="0" showErrorMessage="1" allowBlank="1" errorTitle="Inválido" error="Não pode ser negativo." type="decimal" errorStyle="stop" operator="greaterThanOrEqual">
      <formula1>0</formula1>
    </dataValidation>
    <dataValidation sqref="H519" showDropDown="0" showInputMessage="0" showErrorMessage="1" allowBlank="1" errorTitle="Rejeição maior que o apresentado" error="A rejeição não pode ser maior que a quantidade apresentada." type="custom" errorStyle="stop">
      <formula1>AND(H519&gt;=0,H519&lt;=G519)</formula1>
    </dataValidation>
    <dataValidation sqref="A520" showDropDown="0" showInputMessage="0" showErrorMessage="1" allowBlank="1" errorTitle="Número de recebimento inválido" error="Escolha um número de recebimento já lançado na seção 1." type="list">
      <formula1>=$A$7:$A$56</formula1>
    </dataValidation>
    <dataValidation sqref="D520" showDropDown="0" showInputMessage="0" showErrorMessage="1" allowBlank="1" errorTitle="Código não cadastrado" error="Escolha um código de escola da lista." type="list">
      <formula1>='Entrada de Dados'!$A$6:$A$196</formula1>
    </dataValidation>
    <dataValidation sqref="G520" showDropDown="0" showInputMessage="0" showErrorMessage="1" allowBlank="1" errorTitle="Inválido" error="Não pode ser negativo." type="decimal" errorStyle="stop" operator="greaterThanOrEqual">
      <formula1>0</formula1>
    </dataValidation>
    <dataValidation sqref="H520" showDropDown="0" showInputMessage="0" showErrorMessage="1" allowBlank="1" errorTitle="Rejeição maior que o apresentado" error="A rejeição não pode ser maior que a quantidade apresentada." type="custom" errorStyle="stop">
      <formula1>AND(H520&gt;=0,H520&lt;=G520)</formula1>
    </dataValidation>
    <dataValidation sqref="A521" showDropDown="0" showInputMessage="0" showErrorMessage="1" allowBlank="1" errorTitle="Número de recebimento inválido" error="Escolha um número de recebimento já lançado na seção 1." type="list">
      <formula1>=$A$7:$A$56</formula1>
    </dataValidation>
    <dataValidation sqref="D521" showDropDown="0" showInputMessage="0" showErrorMessage="1" allowBlank="1" errorTitle="Código não cadastrado" error="Escolha um código de escola da lista." type="list">
      <formula1>='Entrada de Dados'!$A$6:$A$196</formula1>
    </dataValidation>
    <dataValidation sqref="G521" showDropDown="0" showInputMessage="0" showErrorMessage="1" allowBlank="1" errorTitle="Inválido" error="Não pode ser negativo." type="decimal" errorStyle="stop" operator="greaterThanOrEqual">
      <formula1>0</formula1>
    </dataValidation>
    <dataValidation sqref="H521" showDropDown="0" showInputMessage="0" showErrorMessage="1" allowBlank="1" errorTitle="Rejeição maior que o apresentado" error="A rejeição não pode ser maior que a quantidade apresentada." type="custom" errorStyle="stop">
      <formula1>AND(H521&gt;=0,H521&lt;=G521)</formula1>
    </dataValidation>
    <dataValidation sqref="A522" showDropDown="0" showInputMessage="0" showErrorMessage="1" allowBlank="1" errorTitle="Número de recebimento inválido" error="Escolha um número de recebimento já lançado na seção 1." type="list">
      <formula1>=$A$7:$A$56</formula1>
    </dataValidation>
    <dataValidation sqref="D522" showDropDown="0" showInputMessage="0" showErrorMessage="1" allowBlank="1" errorTitle="Código não cadastrado" error="Escolha um código de escola da lista." type="list">
      <formula1>='Entrada de Dados'!$A$6:$A$196</formula1>
    </dataValidation>
    <dataValidation sqref="G522" showDropDown="0" showInputMessage="0" showErrorMessage="1" allowBlank="1" errorTitle="Inválido" error="Não pode ser negativo." type="decimal" errorStyle="stop" operator="greaterThanOrEqual">
      <formula1>0</formula1>
    </dataValidation>
    <dataValidation sqref="H522" showDropDown="0" showInputMessage="0" showErrorMessage="1" allowBlank="1" errorTitle="Rejeição maior que o apresentado" error="A rejeição não pode ser maior que a quantidade apresentada." type="custom" errorStyle="stop">
      <formula1>AND(H522&gt;=0,H522&lt;=G522)</formula1>
    </dataValidation>
    <dataValidation sqref="A523" showDropDown="0" showInputMessage="0" showErrorMessage="1" allowBlank="1" errorTitle="Número de recebimento inválido" error="Escolha um número de recebimento já lançado na seção 1." type="list">
      <formula1>=$A$7:$A$56</formula1>
    </dataValidation>
    <dataValidation sqref="D523" showDropDown="0" showInputMessage="0" showErrorMessage="1" allowBlank="1" errorTitle="Código não cadastrado" error="Escolha um código de escola da lista." type="list">
      <formula1>='Entrada de Dados'!$A$6:$A$196</formula1>
    </dataValidation>
    <dataValidation sqref="G523" showDropDown="0" showInputMessage="0" showErrorMessage="1" allowBlank="1" errorTitle="Inválido" error="Não pode ser negativo." type="decimal" errorStyle="stop" operator="greaterThanOrEqual">
      <formula1>0</formula1>
    </dataValidation>
    <dataValidation sqref="H523" showDropDown="0" showInputMessage="0" showErrorMessage="1" allowBlank="1" errorTitle="Rejeição maior que o apresentado" error="A rejeição não pode ser maior que a quantidade apresentada." type="custom" errorStyle="stop">
      <formula1>AND(H523&gt;=0,H523&lt;=G523)</formula1>
    </dataValidation>
    <dataValidation sqref="A524" showDropDown="0" showInputMessage="0" showErrorMessage="1" allowBlank="1" errorTitle="Número de recebimento inválido" error="Escolha um número de recebimento já lançado na seção 1." type="list">
      <formula1>=$A$7:$A$56</formula1>
    </dataValidation>
    <dataValidation sqref="D524" showDropDown="0" showInputMessage="0" showErrorMessage="1" allowBlank="1" errorTitle="Código não cadastrado" error="Escolha um código de escola da lista." type="list">
      <formula1>='Entrada de Dados'!$A$6:$A$196</formula1>
    </dataValidation>
    <dataValidation sqref="G524" showDropDown="0" showInputMessage="0" showErrorMessage="1" allowBlank="1" errorTitle="Inválido" error="Não pode ser negativo." type="decimal" errorStyle="stop" operator="greaterThanOrEqual">
      <formula1>0</formula1>
    </dataValidation>
    <dataValidation sqref="H524" showDropDown="0" showInputMessage="0" showErrorMessage="1" allowBlank="1" errorTitle="Rejeição maior que o apresentado" error="A rejeição não pode ser maior que a quantidade apresentada." type="custom" errorStyle="stop">
      <formula1>AND(H524&gt;=0,H524&lt;=G524)</formula1>
    </dataValidation>
    <dataValidation sqref="A525" showDropDown="0" showInputMessage="0" showErrorMessage="1" allowBlank="1" errorTitle="Número de recebimento inválido" error="Escolha um número de recebimento já lançado na seção 1." type="list">
      <formula1>=$A$7:$A$56</formula1>
    </dataValidation>
    <dataValidation sqref="D525" showDropDown="0" showInputMessage="0" showErrorMessage="1" allowBlank="1" errorTitle="Código não cadastrado" error="Escolha um código de escola da lista." type="list">
      <formula1>='Entrada de Dados'!$A$6:$A$196</formula1>
    </dataValidation>
    <dataValidation sqref="G525" showDropDown="0" showInputMessage="0" showErrorMessage="1" allowBlank="1" errorTitle="Inválido" error="Não pode ser negativo." type="decimal" errorStyle="stop" operator="greaterThanOrEqual">
      <formula1>0</formula1>
    </dataValidation>
    <dataValidation sqref="H525" showDropDown="0" showInputMessage="0" showErrorMessage="1" allowBlank="1" errorTitle="Rejeição maior que o apresentado" error="A rejeição não pode ser maior que a quantidade apresentada." type="custom" errorStyle="stop">
      <formula1>AND(H525&gt;=0,H525&lt;=G525)</formula1>
    </dataValidation>
    <dataValidation sqref="A526" showDropDown="0" showInputMessage="0" showErrorMessage="1" allowBlank="1" errorTitle="Número de recebimento inválido" error="Escolha um número de recebimento já lançado na seção 1." type="list">
      <formula1>=$A$7:$A$56</formula1>
    </dataValidation>
    <dataValidation sqref="D526" showDropDown="0" showInputMessage="0" showErrorMessage="1" allowBlank="1" errorTitle="Código não cadastrado" error="Escolha um código de escola da lista." type="list">
      <formula1>='Entrada de Dados'!$A$6:$A$196</formula1>
    </dataValidation>
    <dataValidation sqref="G526" showDropDown="0" showInputMessage="0" showErrorMessage="1" allowBlank="1" errorTitle="Inválido" error="Não pode ser negativo." type="decimal" errorStyle="stop" operator="greaterThanOrEqual">
      <formula1>0</formula1>
    </dataValidation>
    <dataValidation sqref="H526" showDropDown="0" showInputMessage="0" showErrorMessage="1" allowBlank="1" errorTitle="Rejeição maior que o apresentado" error="A rejeição não pode ser maior que a quantidade apresentada." type="custom" errorStyle="stop">
      <formula1>AND(H526&gt;=0,H526&lt;=G526)</formula1>
    </dataValidation>
    <dataValidation sqref="A527" showDropDown="0" showInputMessage="0" showErrorMessage="1" allowBlank="1" errorTitle="Número de recebimento inválido" error="Escolha um número de recebimento já lançado na seção 1." type="list">
      <formula1>=$A$7:$A$56</formula1>
    </dataValidation>
    <dataValidation sqref="D527" showDropDown="0" showInputMessage="0" showErrorMessage="1" allowBlank="1" errorTitle="Código não cadastrado" error="Escolha um código de escola da lista." type="list">
      <formula1>='Entrada de Dados'!$A$6:$A$196</formula1>
    </dataValidation>
    <dataValidation sqref="G527" showDropDown="0" showInputMessage="0" showErrorMessage="1" allowBlank="1" errorTitle="Inválido" error="Não pode ser negativo." type="decimal" errorStyle="stop" operator="greaterThanOrEqual">
      <formula1>0</formula1>
    </dataValidation>
    <dataValidation sqref="H527" showDropDown="0" showInputMessage="0" showErrorMessage="1" allowBlank="1" errorTitle="Rejeição maior que o apresentado" error="A rejeição não pode ser maior que a quantidade apresentada." type="custom" errorStyle="stop">
      <formula1>AND(H527&gt;=0,H527&lt;=G527)</formula1>
    </dataValidation>
    <dataValidation sqref="A528" showDropDown="0" showInputMessage="0" showErrorMessage="1" allowBlank="1" errorTitle="Número de recebimento inválido" error="Escolha um número de recebimento já lançado na seção 1." type="list">
      <formula1>=$A$7:$A$56</formula1>
    </dataValidation>
    <dataValidation sqref="D528" showDropDown="0" showInputMessage="0" showErrorMessage="1" allowBlank="1" errorTitle="Código não cadastrado" error="Escolha um código de escola da lista." type="list">
      <formula1>='Entrada de Dados'!$A$6:$A$196</formula1>
    </dataValidation>
    <dataValidation sqref="G528" showDropDown="0" showInputMessage="0" showErrorMessage="1" allowBlank="1" errorTitle="Inválido" error="Não pode ser negativo." type="decimal" errorStyle="stop" operator="greaterThanOrEqual">
      <formula1>0</formula1>
    </dataValidation>
    <dataValidation sqref="H528" showDropDown="0" showInputMessage="0" showErrorMessage="1" allowBlank="1" errorTitle="Rejeição maior que o apresentado" error="A rejeição não pode ser maior que a quantidade apresentada." type="custom" errorStyle="stop">
      <formula1>AND(H528&gt;=0,H528&lt;=G528)</formula1>
    </dataValidation>
    <dataValidation sqref="A529" showDropDown="0" showInputMessage="0" showErrorMessage="1" allowBlank="1" errorTitle="Número de recebimento inválido" error="Escolha um número de recebimento já lançado na seção 1." type="list">
      <formula1>=$A$7:$A$56</formula1>
    </dataValidation>
    <dataValidation sqref="D529" showDropDown="0" showInputMessage="0" showErrorMessage="1" allowBlank="1" errorTitle="Código não cadastrado" error="Escolha um código de escola da lista." type="list">
      <formula1>='Entrada de Dados'!$A$6:$A$196</formula1>
    </dataValidation>
    <dataValidation sqref="G529" showDropDown="0" showInputMessage="0" showErrorMessage="1" allowBlank="1" errorTitle="Inválido" error="Não pode ser negativo." type="decimal" errorStyle="stop" operator="greaterThanOrEqual">
      <formula1>0</formula1>
    </dataValidation>
    <dataValidation sqref="H529" showDropDown="0" showInputMessage="0" showErrorMessage="1" allowBlank="1" errorTitle="Rejeição maior que o apresentado" error="A rejeição não pode ser maior que a quantidade apresentada." type="custom" errorStyle="stop">
      <formula1>AND(H529&gt;=0,H529&lt;=G529)</formula1>
    </dataValidation>
    <dataValidation sqref="A530" showDropDown="0" showInputMessage="0" showErrorMessage="1" allowBlank="1" errorTitle="Número de recebimento inválido" error="Escolha um número de recebimento já lançado na seção 1." type="list">
      <formula1>=$A$7:$A$56</formula1>
    </dataValidation>
    <dataValidation sqref="D530" showDropDown="0" showInputMessage="0" showErrorMessage="1" allowBlank="1" errorTitle="Código não cadastrado" error="Escolha um código de escola da lista." type="list">
      <formula1>='Entrada de Dados'!$A$6:$A$196</formula1>
    </dataValidation>
    <dataValidation sqref="G530" showDropDown="0" showInputMessage="0" showErrorMessage="1" allowBlank="1" errorTitle="Inválido" error="Não pode ser negativo." type="decimal" errorStyle="stop" operator="greaterThanOrEqual">
      <formula1>0</formula1>
    </dataValidation>
    <dataValidation sqref="H530" showDropDown="0" showInputMessage="0" showErrorMessage="1" allowBlank="1" errorTitle="Rejeição maior que o apresentado" error="A rejeição não pode ser maior que a quantidade apresentada." type="custom" errorStyle="stop">
      <formula1>AND(H530&gt;=0,H530&lt;=G530)</formula1>
    </dataValidation>
    <dataValidation sqref="A531" showDropDown="0" showInputMessage="0" showErrorMessage="1" allowBlank="1" errorTitle="Número de recebimento inválido" error="Escolha um número de recebimento já lançado na seção 1." type="list">
      <formula1>=$A$7:$A$56</formula1>
    </dataValidation>
    <dataValidation sqref="D531" showDropDown="0" showInputMessage="0" showErrorMessage="1" allowBlank="1" errorTitle="Código não cadastrado" error="Escolha um código de escola da lista." type="list">
      <formula1>='Entrada de Dados'!$A$6:$A$196</formula1>
    </dataValidation>
    <dataValidation sqref="G531" showDropDown="0" showInputMessage="0" showErrorMessage="1" allowBlank="1" errorTitle="Inválido" error="Não pode ser negativo." type="decimal" errorStyle="stop" operator="greaterThanOrEqual">
      <formula1>0</formula1>
    </dataValidation>
    <dataValidation sqref="H531" showDropDown="0" showInputMessage="0" showErrorMessage="1" allowBlank="1" errorTitle="Rejeição maior que o apresentado" error="A rejeição não pode ser maior que a quantidade apresentada." type="custom" errorStyle="stop">
      <formula1>AND(H531&gt;=0,H531&lt;=G531)</formula1>
    </dataValidation>
    <dataValidation sqref="A532" showDropDown="0" showInputMessage="0" showErrorMessage="1" allowBlank="1" errorTitle="Número de recebimento inválido" error="Escolha um número de recebimento já lançado na seção 1." type="list">
      <formula1>=$A$7:$A$56</formula1>
    </dataValidation>
    <dataValidation sqref="D532" showDropDown="0" showInputMessage="0" showErrorMessage="1" allowBlank="1" errorTitle="Código não cadastrado" error="Escolha um código de escola da lista." type="list">
      <formula1>='Entrada de Dados'!$A$6:$A$196</formula1>
    </dataValidation>
    <dataValidation sqref="G532" showDropDown="0" showInputMessage="0" showErrorMessage="1" allowBlank="1" errorTitle="Inválido" error="Não pode ser negativo." type="decimal" errorStyle="stop" operator="greaterThanOrEqual">
      <formula1>0</formula1>
    </dataValidation>
    <dataValidation sqref="H532" showDropDown="0" showInputMessage="0" showErrorMessage="1" allowBlank="1" errorTitle="Rejeição maior que o apresentado" error="A rejeição não pode ser maior que a quantidade apresentada." type="custom" errorStyle="stop">
      <formula1>AND(H532&gt;=0,H532&lt;=G532)</formula1>
    </dataValidation>
    <dataValidation sqref="A533" showDropDown="0" showInputMessage="0" showErrorMessage="1" allowBlank="1" errorTitle="Número de recebimento inválido" error="Escolha um número de recebimento já lançado na seção 1." type="list">
      <formula1>=$A$7:$A$56</formula1>
    </dataValidation>
    <dataValidation sqref="D533" showDropDown="0" showInputMessage="0" showErrorMessage="1" allowBlank="1" errorTitle="Código não cadastrado" error="Escolha um código de escola da lista." type="list">
      <formula1>='Entrada de Dados'!$A$6:$A$196</formula1>
    </dataValidation>
    <dataValidation sqref="G533" showDropDown="0" showInputMessage="0" showErrorMessage="1" allowBlank="1" errorTitle="Inválido" error="Não pode ser negativo." type="decimal" errorStyle="stop" operator="greaterThanOrEqual">
      <formula1>0</formula1>
    </dataValidation>
    <dataValidation sqref="H533" showDropDown="0" showInputMessage="0" showErrorMessage="1" allowBlank="1" errorTitle="Rejeição maior que o apresentado" error="A rejeição não pode ser maior que a quantidade apresentada." type="custom" errorStyle="stop">
      <formula1>AND(H533&gt;=0,H533&lt;=G533)</formula1>
    </dataValidation>
    <dataValidation sqref="A534" showDropDown="0" showInputMessage="0" showErrorMessage="1" allowBlank="1" errorTitle="Número de recebimento inválido" error="Escolha um número de recebimento já lançado na seção 1." type="list">
      <formula1>=$A$7:$A$56</formula1>
    </dataValidation>
    <dataValidation sqref="D534" showDropDown="0" showInputMessage="0" showErrorMessage="1" allowBlank="1" errorTitle="Código não cadastrado" error="Escolha um código de escola da lista." type="list">
      <formula1>='Entrada de Dados'!$A$6:$A$196</formula1>
    </dataValidation>
    <dataValidation sqref="G534" showDropDown="0" showInputMessage="0" showErrorMessage="1" allowBlank="1" errorTitle="Inválido" error="Não pode ser negativo." type="decimal" errorStyle="stop" operator="greaterThanOrEqual">
      <formula1>0</formula1>
    </dataValidation>
    <dataValidation sqref="H534" showDropDown="0" showInputMessage="0" showErrorMessage="1" allowBlank="1" errorTitle="Rejeição maior que o apresentado" error="A rejeição não pode ser maior que a quantidade apresentada." type="custom" errorStyle="stop">
      <formula1>AND(H534&gt;=0,H534&lt;=G534)</formula1>
    </dataValidation>
    <dataValidation sqref="A535" showDropDown="0" showInputMessage="0" showErrorMessage="1" allowBlank="1" errorTitle="Número de recebimento inválido" error="Escolha um número de recebimento já lançado na seção 1." type="list">
      <formula1>=$A$7:$A$56</formula1>
    </dataValidation>
    <dataValidation sqref="D535" showDropDown="0" showInputMessage="0" showErrorMessage="1" allowBlank="1" errorTitle="Código não cadastrado" error="Escolha um código de escola da lista." type="list">
      <formula1>='Entrada de Dados'!$A$6:$A$196</formula1>
    </dataValidation>
    <dataValidation sqref="G535" showDropDown="0" showInputMessage="0" showErrorMessage="1" allowBlank="1" errorTitle="Inválido" error="Não pode ser negativo." type="decimal" errorStyle="stop" operator="greaterThanOrEqual">
      <formula1>0</formula1>
    </dataValidation>
    <dataValidation sqref="H535" showDropDown="0" showInputMessage="0" showErrorMessage="1" allowBlank="1" errorTitle="Rejeição maior que o apresentado" error="A rejeição não pode ser maior que a quantidade apresentada." type="custom" errorStyle="stop">
      <formula1>AND(H535&gt;=0,H535&lt;=G535)</formula1>
    </dataValidation>
    <dataValidation sqref="A536" showDropDown="0" showInputMessage="0" showErrorMessage="1" allowBlank="1" errorTitle="Número de recebimento inválido" error="Escolha um número de recebimento já lançado na seção 1." type="list">
      <formula1>=$A$7:$A$56</formula1>
    </dataValidation>
    <dataValidation sqref="D536" showDropDown="0" showInputMessage="0" showErrorMessage="1" allowBlank="1" errorTitle="Código não cadastrado" error="Escolha um código de escola da lista." type="list">
      <formula1>='Entrada de Dados'!$A$6:$A$196</formula1>
    </dataValidation>
    <dataValidation sqref="G536" showDropDown="0" showInputMessage="0" showErrorMessage="1" allowBlank="1" errorTitle="Inválido" error="Não pode ser negativo." type="decimal" errorStyle="stop" operator="greaterThanOrEqual">
      <formula1>0</formula1>
    </dataValidation>
    <dataValidation sqref="H536" showDropDown="0" showInputMessage="0" showErrorMessage="1" allowBlank="1" errorTitle="Rejeição maior que o apresentado" error="A rejeição não pode ser maior que a quantidade apresentada." type="custom" errorStyle="stop">
      <formula1>AND(H536&gt;=0,H536&lt;=G536)</formula1>
    </dataValidation>
    <dataValidation sqref="A537" showDropDown="0" showInputMessage="0" showErrorMessage="1" allowBlank="1" errorTitle="Número de recebimento inválido" error="Escolha um número de recebimento já lançado na seção 1." type="list">
      <formula1>=$A$7:$A$56</formula1>
    </dataValidation>
    <dataValidation sqref="D537" showDropDown="0" showInputMessage="0" showErrorMessage="1" allowBlank="1" errorTitle="Código não cadastrado" error="Escolha um código de escola da lista." type="list">
      <formula1>='Entrada de Dados'!$A$6:$A$196</formula1>
    </dataValidation>
    <dataValidation sqref="G537" showDropDown="0" showInputMessage="0" showErrorMessage="1" allowBlank="1" errorTitle="Inválido" error="Não pode ser negativo." type="decimal" errorStyle="stop" operator="greaterThanOrEqual">
      <formula1>0</formula1>
    </dataValidation>
    <dataValidation sqref="H537" showDropDown="0" showInputMessage="0" showErrorMessage="1" allowBlank="1" errorTitle="Rejeição maior que o apresentado" error="A rejeição não pode ser maior que a quantidade apresentada." type="custom" errorStyle="stop">
      <formula1>AND(H537&gt;=0,H537&lt;=G537)</formula1>
    </dataValidation>
    <dataValidation sqref="A538" showDropDown="0" showInputMessage="0" showErrorMessage="1" allowBlank="1" errorTitle="Número de recebimento inválido" error="Escolha um número de recebimento já lançado na seção 1." type="list">
      <formula1>=$A$7:$A$56</formula1>
    </dataValidation>
    <dataValidation sqref="D538" showDropDown="0" showInputMessage="0" showErrorMessage="1" allowBlank="1" errorTitle="Código não cadastrado" error="Escolha um código de escola da lista." type="list">
      <formula1>='Entrada de Dados'!$A$6:$A$196</formula1>
    </dataValidation>
    <dataValidation sqref="G538" showDropDown="0" showInputMessage="0" showErrorMessage="1" allowBlank="1" errorTitle="Inválido" error="Não pode ser negativo." type="decimal" errorStyle="stop" operator="greaterThanOrEqual">
      <formula1>0</formula1>
    </dataValidation>
    <dataValidation sqref="H538" showDropDown="0" showInputMessage="0" showErrorMessage="1" allowBlank="1" errorTitle="Rejeição maior que o apresentado" error="A rejeição não pode ser maior que a quantidade apresentada." type="custom" errorStyle="stop">
      <formula1>AND(H538&gt;=0,H538&lt;=G538)</formula1>
    </dataValidation>
    <dataValidation sqref="A539" showDropDown="0" showInputMessage="0" showErrorMessage="1" allowBlank="1" errorTitle="Número de recebimento inválido" error="Escolha um número de recebimento já lançado na seção 1." type="list">
      <formula1>=$A$7:$A$56</formula1>
    </dataValidation>
    <dataValidation sqref="D539" showDropDown="0" showInputMessage="0" showErrorMessage="1" allowBlank="1" errorTitle="Código não cadastrado" error="Escolha um código de escola da lista." type="list">
      <formula1>='Entrada de Dados'!$A$6:$A$196</formula1>
    </dataValidation>
    <dataValidation sqref="G539" showDropDown="0" showInputMessage="0" showErrorMessage="1" allowBlank="1" errorTitle="Inválido" error="Não pode ser negativo." type="decimal" errorStyle="stop" operator="greaterThanOrEqual">
      <formula1>0</formula1>
    </dataValidation>
    <dataValidation sqref="H539" showDropDown="0" showInputMessage="0" showErrorMessage="1" allowBlank="1" errorTitle="Rejeição maior que o apresentado" error="A rejeição não pode ser maior que a quantidade apresentada." type="custom" errorStyle="stop">
      <formula1>AND(H539&gt;=0,H539&lt;=G539)</formula1>
    </dataValidation>
    <dataValidation sqref="A540" showDropDown="0" showInputMessage="0" showErrorMessage="1" allowBlank="1" errorTitle="Número de recebimento inválido" error="Escolha um número de recebimento já lançado na seção 1." type="list">
      <formula1>=$A$7:$A$56</formula1>
    </dataValidation>
    <dataValidation sqref="D540" showDropDown="0" showInputMessage="0" showErrorMessage="1" allowBlank="1" errorTitle="Código não cadastrado" error="Escolha um código de escola da lista." type="list">
      <formula1>='Entrada de Dados'!$A$6:$A$196</formula1>
    </dataValidation>
    <dataValidation sqref="G540" showDropDown="0" showInputMessage="0" showErrorMessage="1" allowBlank="1" errorTitle="Inválido" error="Não pode ser negativo." type="decimal" errorStyle="stop" operator="greaterThanOrEqual">
      <formula1>0</formula1>
    </dataValidation>
    <dataValidation sqref="H540" showDropDown="0" showInputMessage="0" showErrorMessage="1" allowBlank="1" errorTitle="Rejeição maior que o apresentado" error="A rejeição não pode ser maior que a quantidade apresentada." type="custom" errorStyle="stop">
      <formula1>AND(H540&gt;=0,H540&lt;=G540)</formula1>
    </dataValidation>
    <dataValidation sqref="A541" showDropDown="0" showInputMessage="0" showErrorMessage="1" allowBlank="1" errorTitle="Número de recebimento inválido" error="Escolha um número de recebimento já lançado na seção 1." type="list">
      <formula1>=$A$7:$A$56</formula1>
    </dataValidation>
    <dataValidation sqref="D541" showDropDown="0" showInputMessage="0" showErrorMessage="1" allowBlank="1" errorTitle="Código não cadastrado" error="Escolha um código de escola da lista." type="list">
      <formula1>='Entrada de Dados'!$A$6:$A$196</formula1>
    </dataValidation>
    <dataValidation sqref="G541" showDropDown="0" showInputMessage="0" showErrorMessage="1" allowBlank="1" errorTitle="Inválido" error="Não pode ser negativo." type="decimal" errorStyle="stop" operator="greaterThanOrEqual">
      <formula1>0</formula1>
    </dataValidation>
    <dataValidation sqref="H541" showDropDown="0" showInputMessage="0" showErrorMessage="1" allowBlank="1" errorTitle="Rejeição maior que o apresentado" error="A rejeição não pode ser maior que a quantidade apresentada." type="custom" errorStyle="stop">
      <formula1>AND(H541&gt;=0,H541&lt;=G541)</formula1>
    </dataValidation>
    <dataValidation sqref="A542" showDropDown="0" showInputMessage="0" showErrorMessage="1" allowBlank="1" errorTitle="Número de recebimento inválido" error="Escolha um número de recebimento já lançado na seção 1." type="list">
      <formula1>=$A$7:$A$56</formula1>
    </dataValidation>
    <dataValidation sqref="D542" showDropDown="0" showInputMessage="0" showErrorMessage="1" allowBlank="1" errorTitle="Código não cadastrado" error="Escolha um código de escola da lista." type="list">
      <formula1>='Entrada de Dados'!$A$6:$A$196</formula1>
    </dataValidation>
    <dataValidation sqref="G542" showDropDown="0" showInputMessage="0" showErrorMessage="1" allowBlank="1" errorTitle="Inválido" error="Não pode ser negativo." type="decimal" errorStyle="stop" operator="greaterThanOrEqual">
      <formula1>0</formula1>
    </dataValidation>
    <dataValidation sqref="H542" showDropDown="0" showInputMessage="0" showErrorMessage="1" allowBlank="1" errorTitle="Rejeição maior que o apresentado" error="A rejeição não pode ser maior que a quantidade apresentada." type="custom" errorStyle="stop">
      <formula1>AND(H542&gt;=0,H542&lt;=G542)</formula1>
    </dataValidation>
    <dataValidation sqref="A543" showDropDown="0" showInputMessage="0" showErrorMessage="1" allowBlank="1" errorTitle="Número de recebimento inválido" error="Escolha um número de recebimento já lançado na seção 1." type="list">
      <formula1>=$A$7:$A$56</formula1>
    </dataValidation>
    <dataValidation sqref="D543" showDropDown="0" showInputMessage="0" showErrorMessage="1" allowBlank="1" errorTitle="Código não cadastrado" error="Escolha um código de escola da lista." type="list">
      <formula1>='Entrada de Dados'!$A$6:$A$196</formula1>
    </dataValidation>
    <dataValidation sqref="G543" showDropDown="0" showInputMessage="0" showErrorMessage="1" allowBlank="1" errorTitle="Inválido" error="Não pode ser negativo." type="decimal" errorStyle="stop" operator="greaterThanOrEqual">
      <formula1>0</formula1>
    </dataValidation>
    <dataValidation sqref="H543" showDropDown="0" showInputMessage="0" showErrorMessage="1" allowBlank="1" errorTitle="Rejeição maior que o apresentado" error="A rejeição não pode ser maior que a quantidade apresentada." type="custom" errorStyle="stop">
      <formula1>AND(H543&gt;=0,H543&lt;=G543)</formula1>
    </dataValidation>
    <dataValidation sqref="A544" showDropDown="0" showInputMessage="0" showErrorMessage="1" allowBlank="1" errorTitle="Número de recebimento inválido" error="Escolha um número de recebimento já lançado na seção 1." type="list">
      <formula1>=$A$7:$A$56</formula1>
    </dataValidation>
    <dataValidation sqref="D544" showDropDown="0" showInputMessage="0" showErrorMessage="1" allowBlank="1" errorTitle="Código não cadastrado" error="Escolha um código de escola da lista." type="list">
      <formula1>='Entrada de Dados'!$A$6:$A$196</formula1>
    </dataValidation>
    <dataValidation sqref="G544" showDropDown="0" showInputMessage="0" showErrorMessage="1" allowBlank="1" errorTitle="Inválido" error="Não pode ser negativo." type="decimal" errorStyle="stop" operator="greaterThanOrEqual">
      <formula1>0</formula1>
    </dataValidation>
    <dataValidation sqref="H544" showDropDown="0" showInputMessage="0" showErrorMessage="1" allowBlank="1" errorTitle="Rejeição maior que o apresentado" error="A rejeição não pode ser maior que a quantidade apresentada." type="custom" errorStyle="stop">
      <formula1>AND(H544&gt;=0,H544&lt;=G544)</formula1>
    </dataValidation>
    <dataValidation sqref="A545" showDropDown="0" showInputMessage="0" showErrorMessage="1" allowBlank="1" errorTitle="Número de recebimento inválido" error="Escolha um número de recebimento já lançado na seção 1." type="list">
      <formula1>=$A$7:$A$56</formula1>
    </dataValidation>
    <dataValidation sqref="D545" showDropDown="0" showInputMessage="0" showErrorMessage="1" allowBlank="1" errorTitle="Código não cadastrado" error="Escolha um código de escola da lista." type="list">
      <formula1>='Entrada de Dados'!$A$6:$A$196</formula1>
    </dataValidation>
    <dataValidation sqref="G545" showDropDown="0" showInputMessage="0" showErrorMessage="1" allowBlank="1" errorTitle="Inválido" error="Não pode ser negativo." type="decimal" errorStyle="stop" operator="greaterThanOrEqual">
      <formula1>0</formula1>
    </dataValidation>
    <dataValidation sqref="H545" showDropDown="0" showInputMessage="0" showErrorMessage="1" allowBlank="1" errorTitle="Rejeição maior que o apresentado" error="A rejeição não pode ser maior que a quantidade apresentada." type="custom" errorStyle="stop">
      <formula1>AND(H545&gt;=0,H545&lt;=G545)</formula1>
    </dataValidation>
    <dataValidation sqref="A546" showDropDown="0" showInputMessage="0" showErrorMessage="1" allowBlank="1" errorTitle="Número de recebimento inválido" error="Escolha um número de recebimento já lançado na seção 1." type="list">
      <formula1>=$A$7:$A$56</formula1>
    </dataValidation>
    <dataValidation sqref="D546" showDropDown="0" showInputMessage="0" showErrorMessage="1" allowBlank="1" errorTitle="Código não cadastrado" error="Escolha um código de escola da lista." type="list">
      <formula1>='Entrada de Dados'!$A$6:$A$196</formula1>
    </dataValidation>
    <dataValidation sqref="G546" showDropDown="0" showInputMessage="0" showErrorMessage="1" allowBlank="1" errorTitle="Inválido" error="Não pode ser negativo." type="decimal" errorStyle="stop" operator="greaterThanOrEqual">
      <formula1>0</formula1>
    </dataValidation>
    <dataValidation sqref="H546" showDropDown="0" showInputMessage="0" showErrorMessage="1" allowBlank="1" errorTitle="Rejeição maior que o apresentado" error="A rejeição não pode ser maior que a quantidade apresentada." type="custom" errorStyle="stop">
      <formula1>AND(H546&gt;=0,H546&lt;=G546)</formula1>
    </dataValidation>
    <dataValidation sqref="A547" showDropDown="0" showInputMessage="0" showErrorMessage="1" allowBlank="1" errorTitle="Número de recebimento inválido" error="Escolha um número de recebimento já lançado na seção 1." type="list">
      <formula1>=$A$7:$A$56</formula1>
    </dataValidation>
    <dataValidation sqref="D547" showDropDown="0" showInputMessage="0" showErrorMessage="1" allowBlank="1" errorTitle="Código não cadastrado" error="Escolha um código de escola da lista." type="list">
      <formula1>='Entrada de Dados'!$A$6:$A$196</formula1>
    </dataValidation>
    <dataValidation sqref="G547" showDropDown="0" showInputMessage="0" showErrorMessage="1" allowBlank="1" errorTitle="Inválido" error="Não pode ser negativo." type="decimal" errorStyle="stop" operator="greaterThanOrEqual">
      <formula1>0</formula1>
    </dataValidation>
    <dataValidation sqref="H547" showDropDown="0" showInputMessage="0" showErrorMessage="1" allowBlank="1" errorTitle="Rejeição maior que o apresentado" error="A rejeição não pode ser maior que a quantidade apresentada." type="custom" errorStyle="stop">
      <formula1>AND(H547&gt;=0,H547&lt;=G547)</formula1>
    </dataValidation>
    <dataValidation sqref="A548" showDropDown="0" showInputMessage="0" showErrorMessage="1" allowBlank="1" errorTitle="Número de recebimento inválido" error="Escolha um número de recebimento já lançado na seção 1." type="list">
      <formula1>=$A$7:$A$56</formula1>
    </dataValidation>
    <dataValidation sqref="D548" showDropDown="0" showInputMessage="0" showErrorMessage="1" allowBlank="1" errorTitle="Código não cadastrado" error="Escolha um código de escola da lista." type="list">
      <formula1>='Entrada de Dados'!$A$6:$A$196</formula1>
    </dataValidation>
    <dataValidation sqref="G548" showDropDown="0" showInputMessage="0" showErrorMessage="1" allowBlank="1" errorTitle="Inválido" error="Não pode ser negativo." type="decimal" errorStyle="stop" operator="greaterThanOrEqual">
      <formula1>0</formula1>
    </dataValidation>
    <dataValidation sqref="H548" showDropDown="0" showInputMessage="0" showErrorMessage="1" allowBlank="1" errorTitle="Rejeição maior que o apresentado" error="A rejeição não pode ser maior que a quantidade apresentada." type="custom" errorStyle="stop">
      <formula1>AND(H548&gt;=0,H548&lt;=G548)</formula1>
    </dataValidation>
    <dataValidation sqref="A549" showDropDown="0" showInputMessage="0" showErrorMessage="1" allowBlank="1" errorTitle="Número de recebimento inválido" error="Escolha um número de recebimento já lançado na seção 1." type="list">
      <formula1>=$A$7:$A$56</formula1>
    </dataValidation>
    <dataValidation sqref="D549" showDropDown="0" showInputMessage="0" showErrorMessage="1" allowBlank="1" errorTitle="Código não cadastrado" error="Escolha um código de escola da lista." type="list">
      <formula1>='Entrada de Dados'!$A$6:$A$196</formula1>
    </dataValidation>
    <dataValidation sqref="G549" showDropDown="0" showInputMessage="0" showErrorMessage="1" allowBlank="1" errorTitle="Inválido" error="Não pode ser negativo." type="decimal" errorStyle="stop" operator="greaterThanOrEqual">
      <formula1>0</formula1>
    </dataValidation>
    <dataValidation sqref="H549" showDropDown="0" showInputMessage="0" showErrorMessage="1" allowBlank="1" errorTitle="Rejeição maior que o apresentado" error="A rejeição não pode ser maior que a quantidade apresentada." type="custom" errorStyle="stop">
      <formula1>AND(H549&gt;=0,H549&lt;=G549)</formula1>
    </dataValidation>
    <dataValidation sqref="A550" showDropDown="0" showInputMessage="0" showErrorMessage="1" allowBlank="1" errorTitle="Número de recebimento inválido" error="Escolha um número de recebimento já lançado na seção 1." type="list">
      <formula1>=$A$7:$A$56</formula1>
    </dataValidation>
    <dataValidation sqref="D550" showDropDown="0" showInputMessage="0" showErrorMessage="1" allowBlank="1" errorTitle="Código não cadastrado" error="Escolha um código de escola da lista." type="list">
      <formula1>='Entrada de Dados'!$A$6:$A$196</formula1>
    </dataValidation>
    <dataValidation sqref="G550" showDropDown="0" showInputMessage="0" showErrorMessage="1" allowBlank="1" errorTitle="Inválido" error="Não pode ser negativo." type="decimal" errorStyle="stop" operator="greaterThanOrEqual">
      <formula1>0</formula1>
    </dataValidation>
    <dataValidation sqref="H550" showDropDown="0" showInputMessage="0" showErrorMessage="1" allowBlank="1" errorTitle="Rejeição maior que o apresentado" error="A rejeição não pode ser maior que a quantidade apresentada." type="custom" errorStyle="stop">
      <formula1>AND(H550&gt;=0,H550&lt;=G550)</formula1>
    </dataValidation>
    <dataValidation sqref="A551" showDropDown="0" showInputMessage="0" showErrorMessage="1" allowBlank="1" errorTitle="Número de recebimento inválido" error="Escolha um número de recebimento já lançado na seção 1." type="list">
      <formula1>=$A$7:$A$56</formula1>
    </dataValidation>
    <dataValidation sqref="D551" showDropDown="0" showInputMessage="0" showErrorMessage="1" allowBlank="1" errorTitle="Código não cadastrado" error="Escolha um código de escola da lista." type="list">
      <formula1>='Entrada de Dados'!$A$6:$A$196</formula1>
    </dataValidation>
    <dataValidation sqref="G551" showDropDown="0" showInputMessage="0" showErrorMessage="1" allowBlank="1" errorTitle="Inválido" error="Não pode ser negativo." type="decimal" errorStyle="stop" operator="greaterThanOrEqual">
      <formula1>0</formula1>
    </dataValidation>
    <dataValidation sqref="H551" showDropDown="0" showInputMessage="0" showErrorMessage="1" allowBlank="1" errorTitle="Rejeição maior que o apresentado" error="A rejeição não pode ser maior que a quantidade apresentada." type="custom" errorStyle="stop">
      <formula1>AND(H551&gt;=0,H551&lt;=G551)</formula1>
    </dataValidation>
    <dataValidation sqref="A552" showDropDown="0" showInputMessage="0" showErrorMessage="1" allowBlank="1" errorTitle="Número de recebimento inválido" error="Escolha um número de recebimento já lançado na seção 1." type="list">
      <formula1>=$A$7:$A$56</formula1>
    </dataValidation>
    <dataValidation sqref="D552" showDropDown="0" showInputMessage="0" showErrorMessage="1" allowBlank="1" errorTitle="Código não cadastrado" error="Escolha um código de escola da lista." type="list">
      <formula1>='Entrada de Dados'!$A$6:$A$196</formula1>
    </dataValidation>
    <dataValidation sqref="G552" showDropDown="0" showInputMessage="0" showErrorMessage="1" allowBlank="1" errorTitle="Inválido" error="Não pode ser negativo." type="decimal" errorStyle="stop" operator="greaterThanOrEqual">
      <formula1>0</formula1>
    </dataValidation>
    <dataValidation sqref="H552" showDropDown="0" showInputMessage="0" showErrorMessage="1" allowBlank="1" errorTitle="Rejeição maior que o apresentado" error="A rejeição não pode ser maior que a quantidade apresentada." type="custom" errorStyle="stop">
      <formula1>AND(H552&gt;=0,H552&lt;=G552)</formula1>
    </dataValidation>
    <dataValidation sqref="A553" showDropDown="0" showInputMessage="0" showErrorMessage="1" allowBlank="1" errorTitle="Número de recebimento inválido" error="Escolha um número de recebimento já lançado na seção 1." type="list">
      <formula1>=$A$7:$A$56</formula1>
    </dataValidation>
    <dataValidation sqref="D553" showDropDown="0" showInputMessage="0" showErrorMessage="1" allowBlank="1" errorTitle="Código não cadastrado" error="Escolha um código de escola da lista." type="list">
      <formula1>='Entrada de Dados'!$A$6:$A$196</formula1>
    </dataValidation>
    <dataValidation sqref="G553" showDropDown="0" showInputMessage="0" showErrorMessage="1" allowBlank="1" errorTitle="Inválido" error="Não pode ser negativo." type="decimal" errorStyle="stop" operator="greaterThanOrEqual">
      <formula1>0</formula1>
    </dataValidation>
    <dataValidation sqref="H553" showDropDown="0" showInputMessage="0" showErrorMessage="1" allowBlank="1" errorTitle="Rejeição maior que o apresentado" error="A rejeição não pode ser maior que a quantidade apresentada." type="custom" errorStyle="stop">
      <formula1>AND(H553&gt;=0,H553&lt;=G553)</formula1>
    </dataValidation>
    <dataValidation sqref="A554" showDropDown="0" showInputMessage="0" showErrorMessage="1" allowBlank="1" errorTitle="Número de recebimento inválido" error="Escolha um número de recebimento já lançado na seção 1." type="list">
      <formula1>=$A$7:$A$56</formula1>
    </dataValidation>
    <dataValidation sqref="D554" showDropDown="0" showInputMessage="0" showErrorMessage="1" allowBlank="1" errorTitle="Código não cadastrado" error="Escolha um código de escola da lista." type="list">
      <formula1>='Entrada de Dados'!$A$6:$A$196</formula1>
    </dataValidation>
    <dataValidation sqref="G554" showDropDown="0" showInputMessage="0" showErrorMessage="1" allowBlank="1" errorTitle="Inválido" error="Não pode ser negativo." type="decimal" errorStyle="stop" operator="greaterThanOrEqual">
      <formula1>0</formula1>
    </dataValidation>
    <dataValidation sqref="H554" showDropDown="0" showInputMessage="0" showErrorMessage="1" allowBlank="1" errorTitle="Rejeição maior que o apresentado" error="A rejeição não pode ser maior que a quantidade apresentada." type="custom" errorStyle="stop">
      <formula1>AND(H554&gt;=0,H554&lt;=G554)</formula1>
    </dataValidation>
    <dataValidation sqref="A555" showDropDown="0" showInputMessage="0" showErrorMessage="1" allowBlank="1" errorTitle="Número de recebimento inválido" error="Escolha um número de recebimento já lançado na seção 1." type="list">
      <formula1>=$A$7:$A$56</formula1>
    </dataValidation>
    <dataValidation sqref="D555" showDropDown="0" showInputMessage="0" showErrorMessage="1" allowBlank="1" errorTitle="Código não cadastrado" error="Escolha um código de escola da lista." type="list">
      <formula1>='Entrada de Dados'!$A$6:$A$196</formula1>
    </dataValidation>
    <dataValidation sqref="G555" showDropDown="0" showInputMessage="0" showErrorMessage="1" allowBlank="1" errorTitle="Inválido" error="Não pode ser negativo." type="decimal" errorStyle="stop" operator="greaterThanOrEqual">
      <formula1>0</formula1>
    </dataValidation>
    <dataValidation sqref="H555" showDropDown="0" showInputMessage="0" showErrorMessage="1" allowBlank="1" errorTitle="Rejeição maior que o apresentado" error="A rejeição não pode ser maior que a quantidade apresentada." type="custom" errorStyle="stop">
      <formula1>AND(H555&gt;=0,H555&lt;=G555)</formula1>
    </dataValidation>
    <dataValidation sqref="A556" showDropDown="0" showInputMessage="0" showErrorMessage="1" allowBlank="1" errorTitle="Número de recebimento inválido" error="Escolha um número de recebimento já lançado na seção 1." type="list">
      <formula1>=$A$7:$A$56</formula1>
    </dataValidation>
    <dataValidation sqref="D556" showDropDown="0" showInputMessage="0" showErrorMessage="1" allowBlank="1" errorTitle="Código não cadastrado" error="Escolha um código de escola da lista." type="list">
      <formula1>='Entrada de Dados'!$A$6:$A$196</formula1>
    </dataValidation>
    <dataValidation sqref="G556" showDropDown="0" showInputMessage="0" showErrorMessage="1" allowBlank="1" errorTitle="Inválido" error="Não pode ser negativo." type="decimal" errorStyle="stop" operator="greaterThanOrEqual">
      <formula1>0</formula1>
    </dataValidation>
    <dataValidation sqref="H556" showDropDown="0" showInputMessage="0" showErrorMessage="1" allowBlank="1" errorTitle="Rejeição maior que o apresentado" error="A rejeição não pode ser maior que a quantidade apresentada." type="custom" errorStyle="stop">
      <formula1>AND(H556&gt;=0,H556&lt;=G556)</formula1>
    </dataValidation>
    <dataValidation sqref="A557" showDropDown="0" showInputMessage="0" showErrorMessage="1" allowBlank="1" errorTitle="Número de recebimento inválido" error="Escolha um número de recebimento já lançado na seção 1." type="list">
      <formula1>=$A$7:$A$56</formula1>
    </dataValidation>
    <dataValidation sqref="D557" showDropDown="0" showInputMessage="0" showErrorMessage="1" allowBlank="1" errorTitle="Código não cadastrado" error="Escolha um código de escola da lista." type="list">
      <formula1>='Entrada de Dados'!$A$6:$A$196</formula1>
    </dataValidation>
    <dataValidation sqref="G557" showDropDown="0" showInputMessage="0" showErrorMessage="1" allowBlank="1" errorTitle="Inválido" error="Não pode ser negativo." type="decimal" errorStyle="stop" operator="greaterThanOrEqual">
      <formula1>0</formula1>
    </dataValidation>
    <dataValidation sqref="H557" showDropDown="0" showInputMessage="0" showErrorMessage="1" allowBlank="1" errorTitle="Rejeição maior que o apresentado" error="A rejeição não pode ser maior que a quantidade apresentada." type="custom" errorStyle="stop">
      <formula1>AND(H557&gt;=0,H557&lt;=G557)</formula1>
    </dataValidation>
    <dataValidation sqref="A558" showDropDown="0" showInputMessage="0" showErrorMessage="1" allowBlank="1" errorTitle="Número de recebimento inválido" error="Escolha um número de recebimento já lançado na seção 1." type="list">
      <formula1>=$A$7:$A$56</formula1>
    </dataValidation>
    <dataValidation sqref="D558" showDropDown="0" showInputMessage="0" showErrorMessage="1" allowBlank="1" errorTitle="Código não cadastrado" error="Escolha um código de escola da lista." type="list">
      <formula1>='Entrada de Dados'!$A$6:$A$196</formula1>
    </dataValidation>
    <dataValidation sqref="G558" showDropDown="0" showInputMessage="0" showErrorMessage="1" allowBlank="1" errorTitle="Inválido" error="Não pode ser negativo." type="decimal" errorStyle="stop" operator="greaterThanOrEqual">
      <formula1>0</formula1>
    </dataValidation>
    <dataValidation sqref="H558" showDropDown="0" showInputMessage="0" showErrorMessage="1" allowBlank="1" errorTitle="Rejeição maior que o apresentado" error="A rejeição não pode ser maior que a quantidade apresentada." type="custom" errorStyle="stop">
      <formula1>AND(H558&gt;=0,H558&lt;=G558)</formula1>
    </dataValidation>
    <dataValidation sqref="A559" showDropDown="0" showInputMessage="0" showErrorMessage="1" allowBlank="1" errorTitle="Número de recebimento inválido" error="Escolha um número de recebimento já lançado na seção 1." type="list">
      <formula1>=$A$7:$A$56</formula1>
    </dataValidation>
    <dataValidation sqref="D559" showDropDown="0" showInputMessage="0" showErrorMessage="1" allowBlank="1" errorTitle="Código não cadastrado" error="Escolha um código de escola da lista." type="list">
      <formula1>='Entrada de Dados'!$A$6:$A$196</formula1>
    </dataValidation>
    <dataValidation sqref="G559" showDropDown="0" showInputMessage="0" showErrorMessage="1" allowBlank="1" errorTitle="Inválido" error="Não pode ser negativo." type="decimal" errorStyle="stop" operator="greaterThanOrEqual">
      <formula1>0</formula1>
    </dataValidation>
    <dataValidation sqref="H559" showDropDown="0" showInputMessage="0" showErrorMessage="1" allowBlank="1" errorTitle="Rejeição maior que o apresentado" error="A rejeição não pode ser maior que a quantidade apresentada." type="custom" errorStyle="stop">
      <formula1>AND(H559&gt;=0,H559&lt;=G559)</formula1>
    </dataValidation>
    <dataValidation sqref="O4" showDropDown="0" showInputMessage="0" showErrorMessage="1" allowBlank="1" errorTitle="Nº inválido" error="Escolha um número já lançado na seção de Recebimento." type="list">
      <formula1>=$A$7:$A$56</formula1>
    </dataValidation>
    <dataValidation sqref="O5" showDropDown="0" showInputMessage="0" showErrorMessage="1" allowBlank="1" errorTitle="Item inválido" error="Escolha um Item Nº já lançado na seção de Entrega." type="list">
      <formula1>=$L$60:$L$559</formula1>
    </dataValidation>
    <dataValidation sqref="N3" showDropDown="0" showInputMessage="0" showErrorMessage="1" allowBlank="0" errorTitle="Escolha um tipo" error="Escolha um dos dois tipos." type="list">
      <formula1>"Recebimento no Galpão,Entrega à Escola"</formula1>
    </dataValidation>
  </dataValidations>
  <pageMargins left="0.75" right="0.75" top="1" bottom="1" header="0.5" footer="0.5"/>
  <pageSetup orientation="portrait" paperSize="9" fitToHeight="1" fitToWidth="1"/>
</worksheet>
</file>

<file path=xl/worksheets/sheet6.xml><?xml version="1.0" encoding="utf-8"?>
<worksheet xmlns="http://schemas.openxmlformats.org/spreadsheetml/2006/main">
  <sheetPr filterMode="0">
    <outlinePr summaryBelow="1" summaryRight="1"/>
    <pageSetUpPr fitToPage="1"/>
  </sheetPr>
  <dimension ref="A1:E20"/>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0" customWidth="1" style="162" min="1" max="4"/>
    <col width="12" customWidth="1" style="162" min="5" max="5"/>
  </cols>
  <sheetData>
    <row r="1" ht="30" customHeight="1" s="163">
      <c r="A1" s="249" t="inlineStr">
        <is>
          <t>PRODUTO</t>
        </is>
      </c>
      <c r="B1" s="249" t="inlineStr">
        <is>
          <t>TOTAL PEDIDO (kg/dz)</t>
        </is>
      </c>
      <c r="C1" s="249" t="inlineStr">
        <is>
          <t>TOTAL ACEITO NO GALPÃO (kg/dz)</t>
        </is>
      </c>
      <c r="D1" s="249" t="inlineStr">
        <is>
          <t>DIFERENÇA (kg/dz)</t>
        </is>
      </c>
      <c r="E1" s="249" t="inlineStr">
        <is>
          <t>STATUS</t>
        </is>
      </c>
    </row>
    <row r="2" ht="15" customHeight="1" s="163">
      <c r="A2" s="250" t="inlineStr">
        <is>
          <t>Abacate</t>
        </is>
      </c>
      <c r="B2" s="251">
        <f>'Entrada de Dados'!C197</f>
        <v/>
      </c>
      <c r="C2" s="251">
        <f>'Entrada de Dados'!C252</f>
        <v/>
      </c>
      <c r="D2" s="251">
        <f>C2-B2</f>
        <v/>
      </c>
      <c r="E2" s="252">
        <f>IF(D2&lt;0,"FALTA",IF(D2&gt;0,"SOBRA","OK"))</f>
        <v/>
      </c>
    </row>
    <row r="3" ht="15" customHeight="1" s="163">
      <c r="A3" s="253" t="inlineStr">
        <is>
          <t>Abobrinha</t>
        </is>
      </c>
      <c r="B3" s="254">
        <f>'Entrada de Dados'!D197</f>
        <v/>
      </c>
      <c r="C3" s="254">
        <f>'Entrada de Dados'!D252</f>
        <v/>
      </c>
      <c r="D3" s="254">
        <f>C3-B3</f>
        <v/>
      </c>
      <c r="E3" s="252">
        <f>IF(D3&lt;0,"FALTA",IF(D3&gt;0,"SOBRA","OK"))</f>
        <v/>
      </c>
    </row>
    <row r="4" ht="15" customHeight="1" s="163">
      <c r="A4" s="250" t="inlineStr">
        <is>
          <t>Agrião</t>
        </is>
      </c>
      <c r="B4" s="251">
        <f>'Entrada de Dados'!E197</f>
        <v/>
      </c>
      <c r="C4" s="251">
        <f>'Entrada de Dados'!E252</f>
        <v/>
      </c>
      <c r="D4" s="251">
        <f>C4-B4</f>
        <v/>
      </c>
      <c r="E4" s="252">
        <f>IF(D4&lt;0,"FALTA",IF(D4&gt;0,"SOBRA","OK"))</f>
        <v/>
      </c>
    </row>
    <row r="5" ht="15" customHeight="1" s="163">
      <c r="A5" s="253" t="inlineStr">
        <is>
          <t>Alface lisa</t>
        </is>
      </c>
      <c r="B5" s="254">
        <f>'Entrada de Dados'!F197</f>
        <v/>
      </c>
      <c r="C5" s="254">
        <f>'Entrada de Dados'!F252</f>
        <v/>
      </c>
      <c r="D5" s="254">
        <f>C5-B5</f>
        <v/>
      </c>
      <c r="E5" s="252">
        <f>IF(D5&lt;0,"FALTA",IF(D5&gt;0,"SOBRA","OK"))</f>
        <v/>
      </c>
    </row>
    <row r="6" ht="15" customHeight="1" s="163">
      <c r="A6" s="250" t="inlineStr">
        <is>
          <t>Banana prata</t>
        </is>
      </c>
      <c r="B6" s="251">
        <f>'Entrada de Dados'!G197</f>
        <v/>
      </c>
      <c r="C6" s="251">
        <f>'Entrada de Dados'!G252</f>
        <v/>
      </c>
      <c r="D6" s="251">
        <f>C6-B6</f>
        <v/>
      </c>
      <c r="E6" s="252">
        <f>IF(D6&lt;0,"FALTA",IF(D6&gt;0,"SOBRA","OK"))</f>
        <v/>
      </c>
    </row>
    <row r="7" ht="15" customHeight="1" s="163">
      <c r="A7" s="253" t="inlineStr">
        <is>
          <t>Batata inglesa</t>
        </is>
      </c>
      <c r="B7" s="254">
        <f>'Entrada de Dados'!H197</f>
        <v/>
      </c>
      <c r="C7" s="254">
        <f>'Entrada de Dados'!H252</f>
        <v/>
      </c>
      <c r="D7" s="254">
        <f>C7-B7</f>
        <v/>
      </c>
      <c r="E7" s="252">
        <f>IF(D7&lt;0,"FALTA",IF(D7&gt;0,"SOBRA","OK"))</f>
        <v/>
      </c>
    </row>
    <row r="8" ht="15" customHeight="1" s="163">
      <c r="A8" s="250" t="inlineStr">
        <is>
          <t>Beterraba</t>
        </is>
      </c>
      <c r="B8" s="251">
        <f>'Entrada de Dados'!I197</f>
        <v/>
      </c>
      <c r="C8" s="251">
        <f>'Entrada de Dados'!I252</f>
        <v/>
      </c>
      <c r="D8" s="251">
        <f>C8-B8</f>
        <v/>
      </c>
      <c r="E8" s="252">
        <f>IF(D8&lt;0,"FALTA",IF(D8&gt;0,"SOBRA","OK"))</f>
        <v/>
      </c>
    </row>
    <row r="9" ht="15" customHeight="1" s="163">
      <c r="A9" s="253" t="inlineStr">
        <is>
          <t>Brócolis</t>
        </is>
      </c>
      <c r="B9" s="254">
        <f>'Entrada de Dados'!J197</f>
        <v/>
      </c>
      <c r="C9" s="254">
        <f>'Entrada de Dados'!J252</f>
        <v/>
      </c>
      <c r="D9" s="254">
        <f>C9-B9</f>
        <v/>
      </c>
      <c r="E9" s="252">
        <f>IF(D9&lt;0,"FALTA",IF(D9&gt;0,"SOBRA","OK"))</f>
        <v/>
      </c>
    </row>
    <row r="10" ht="15" customHeight="1" s="163">
      <c r="A10" s="250" t="inlineStr">
        <is>
          <t>Cenoura</t>
        </is>
      </c>
      <c r="B10" s="251">
        <f>'Entrada de Dados'!K197</f>
        <v/>
      </c>
      <c r="C10" s="251">
        <f>'Entrada de Dados'!K252</f>
        <v/>
      </c>
      <c r="D10" s="251">
        <f>C10-B10</f>
        <v/>
      </c>
      <c r="E10" s="252">
        <f>IF(D10&lt;0,"FALTA",IF(D10&gt;0,"SOBRA","OK"))</f>
        <v/>
      </c>
    </row>
    <row r="11" ht="15" customHeight="1" s="163">
      <c r="A11" s="253" t="inlineStr">
        <is>
          <t>Cheiro verde</t>
        </is>
      </c>
      <c r="B11" s="254">
        <f>'Entrada de Dados'!L197</f>
        <v/>
      </c>
      <c r="C11" s="254">
        <f>'Entrada de Dados'!L252</f>
        <v/>
      </c>
      <c r="D11" s="254">
        <f>C11-B11</f>
        <v/>
      </c>
      <c r="E11" s="252">
        <f>IF(D11&lt;0,"FALTA",IF(D11&gt;0,"SOBRA","OK"))</f>
        <v/>
      </c>
    </row>
    <row r="12" ht="15" customHeight="1" s="163">
      <c r="A12" s="250" t="inlineStr">
        <is>
          <t>Chuchu</t>
        </is>
      </c>
      <c r="B12" s="251">
        <f>'Entrada de Dados'!M197</f>
        <v/>
      </c>
      <c r="C12" s="251">
        <f>'Entrada de Dados'!M252</f>
        <v/>
      </c>
      <c r="D12" s="251">
        <f>C12-B12</f>
        <v/>
      </c>
      <c r="E12" s="252">
        <f>IF(D12&lt;0,"FALTA",IF(D12&gt;0,"SOBRA","OK"))</f>
        <v/>
      </c>
    </row>
    <row r="13" ht="15" customHeight="1" s="163">
      <c r="A13" s="253" t="inlineStr">
        <is>
          <t>Couve manteiga</t>
        </is>
      </c>
      <c r="B13" s="254">
        <f>'Entrada de Dados'!N197</f>
        <v/>
      </c>
      <c r="C13" s="254">
        <f>'Entrada de Dados'!N252</f>
        <v/>
      </c>
      <c r="D13" s="254">
        <f>C13-B13</f>
        <v/>
      </c>
      <c r="E13" s="252">
        <f>IF(D13&lt;0,"FALTA",IF(D13&gt;0,"SOBRA","OK"))</f>
        <v/>
      </c>
    </row>
    <row r="14" ht="15" customHeight="1" s="163">
      <c r="A14" s="250" t="inlineStr">
        <is>
          <t>Couve-flor</t>
        </is>
      </c>
      <c r="B14" s="251">
        <f>'Entrada de Dados'!O197</f>
        <v/>
      </c>
      <c r="C14" s="251">
        <f>'Entrada de Dados'!O252</f>
        <v/>
      </c>
      <c r="D14" s="251">
        <f>C14-B14</f>
        <v/>
      </c>
      <c r="E14" s="252">
        <f>IF(D14&lt;0,"FALTA",IF(D14&gt;0,"SOBRA","OK"))</f>
        <v/>
      </c>
    </row>
    <row r="15" ht="15" customHeight="1" s="163">
      <c r="A15" s="253" t="inlineStr">
        <is>
          <t>Espinafre</t>
        </is>
      </c>
      <c r="B15" s="254">
        <f>'Entrada de Dados'!P197</f>
        <v/>
      </c>
      <c r="C15" s="254">
        <f>'Entrada de Dados'!P252</f>
        <v/>
      </c>
      <c r="D15" s="254">
        <f>C15-B15</f>
        <v/>
      </c>
      <c r="E15" s="252">
        <f>IF(D15&lt;0,"FALTA",IF(D15&gt;0,"SOBRA","OK"))</f>
        <v/>
      </c>
    </row>
    <row r="16" ht="15" customHeight="1" s="163">
      <c r="A16" s="250" t="inlineStr">
        <is>
          <t>Maçã gala</t>
        </is>
      </c>
      <c r="B16" s="251">
        <f>'Entrada de Dados'!Q197</f>
        <v/>
      </c>
      <c r="C16" s="251">
        <f>'Entrada de Dados'!Q252</f>
        <v/>
      </c>
      <c r="D16" s="251">
        <f>C16-B16</f>
        <v/>
      </c>
      <c r="E16" s="252">
        <f>IF(D16&lt;0,"FALTA",IF(D16&gt;0,"SOBRA","OK"))</f>
        <v/>
      </c>
    </row>
    <row r="17" ht="15" customHeight="1" s="163">
      <c r="A17" s="253" t="inlineStr">
        <is>
          <t>Mel</t>
        </is>
      </c>
      <c r="B17" s="254">
        <f>'Entrada de Dados'!R197</f>
        <v/>
      </c>
      <c r="C17" s="254">
        <f>'Entrada de Dados'!R252</f>
        <v/>
      </c>
      <c r="D17" s="254">
        <f>C17-B17</f>
        <v/>
      </c>
      <c r="E17" s="252">
        <f>IF(D17&lt;0,"FALTA",IF(D17&gt;0,"SOBRA","OK"))</f>
        <v/>
      </c>
    </row>
    <row r="18" hidden="1" ht="15" customHeight="1" s="163">
      <c r="A18" s="250" t="inlineStr">
        <is>
          <t>Ovos (dz)</t>
        </is>
      </c>
      <c r="B18" s="251">
        <f>'Entrada de Dados'!S197</f>
        <v/>
      </c>
      <c r="C18" s="251">
        <f>'Entrada de Dados'!S252</f>
        <v/>
      </c>
      <c r="D18" s="251">
        <f>C18-B18</f>
        <v/>
      </c>
      <c r="E18" s="252">
        <f>IF(D18&lt;0,"FALTA",IF(D18&gt;0,"SOBRA","OK"))</f>
        <v/>
      </c>
    </row>
    <row r="19" ht="15" customHeight="1" s="163">
      <c r="A19" s="253" t="inlineStr">
        <is>
          <t>Repolho</t>
        </is>
      </c>
      <c r="B19" s="254">
        <f>'Entrada de Dados'!T197</f>
        <v/>
      </c>
      <c r="C19" s="254">
        <f>'Entrada de Dados'!T252</f>
        <v/>
      </c>
      <c r="D19" s="254">
        <f>C19-B19</f>
        <v/>
      </c>
      <c r="E19" s="252">
        <f>IF(D19&lt;0,"FALTA",IF(D19&gt;0,"SOBRA","OK"))</f>
        <v/>
      </c>
    </row>
    <row r="20" ht="15" customHeight="1" s="163">
      <c r="A20" s="250" t="inlineStr">
        <is>
          <t>Tangerina ponkan</t>
        </is>
      </c>
      <c r="B20" s="251">
        <f>'Entrada de Dados'!U197</f>
        <v/>
      </c>
      <c r="C20" s="251">
        <f>'Entrada de Dados'!U252</f>
        <v/>
      </c>
      <c r="D20" s="251">
        <f>C20-B20</f>
        <v/>
      </c>
      <c r="E20" s="252">
        <f>IF(D20&lt;0,"FALTA",IF(D20&gt;0,"SOBRA","OK"))</f>
        <v/>
      </c>
    </row>
  </sheetData>
  <sheetProtection selectLockedCells="0" selectUnlockedCells="0" sheet="1" objects="0" insertRows="1" insertHyperlinks="1" autoFilter="1" scenarios="0" formatColumns="0" deleteColumns="1" insertColumns="1" pivotTables="1" deleteRows="1" formatCells="0" formatRows="0" sort="0"/>
  <conditionalFormatting sqref="A2:E20">
    <cfRule type="expression" rank="0" priority="2" equalAverage="0" aboveAverage="0" dxfId="5" text="" percent="0" bottom="0">
      <formula>$D2&lt;0</formula>
    </cfRule>
    <cfRule type="expression" rank="0" priority="3" equalAverage="0" aboveAverage="0" dxfId="8" text="" percent="0" bottom="0">
      <formula>$D2&gt;0</formula>
    </cfRule>
    <cfRule type="expression" rank="0" priority="4" equalAverage="0" aboveAverage="0" dxfId="6" text="" percent="0" bottom="0">
      <formula>$D2=0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X286"/>
  <sheetViews>
    <sheetView showFormulas="0" showGridLines="1" showRowColHeaders="1" showZeros="1" rightToLeft="0" tabSelected="1"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71484375" defaultRowHeight="15" zeroHeight="0" outlineLevelRow="0"/>
  <cols>
    <col width="6" customWidth="1" style="162" min="1" max="1"/>
    <col width="5" customWidth="1" style="162" min="2" max="2"/>
    <col width="12" customWidth="1" style="162" min="3" max="3"/>
    <col width="34" customWidth="1" style="162" min="4" max="4"/>
    <col width="16" customWidth="1" style="162" min="5" max="5"/>
    <col width="9.52" customWidth="1" style="162" min="6" max="24"/>
    <col hidden="1" width="13" customWidth="1" style="163" min="22" max="22"/>
  </cols>
  <sheetData>
    <row r="1" ht="25.5" customHeight="1" s="163">
      <c r="A1" s="203" t="inlineStr">
        <is>
          <t>MAPA DE MONTAGEM — SEPARAÇÃO DAS CARGAS</t>
        </is>
      </c>
    </row>
    <row r="2" ht="24" customHeight="1" s="163">
      <c r="A2" s="238" t="inlineStr">
        <is>
          <t>Quantidades vêm automaticamente da Entrada de Dados, buscadas pelo código da escola — não digite aqui. Ovos em dúzias; os demais produtos em kg. Ordem das rotas conforme o plano operacional do Galpão de Itaipava.</t>
        </is>
      </c>
    </row>
    <row r="3" ht="15" customHeight="1" s="163">
      <c r="A3" s="204">
        <f>HYPERLINK("#'ÍNDICE'!A1","◄ Voltar ao Índice")</f>
        <v/>
      </c>
    </row>
    <row r="5" ht="24" customHeight="1" s="163">
      <c r="A5" s="255" t="inlineStr">
        <is>
          <t>SEGUNDA-FEIRA</t>
        </is>
      </c>
    </row>
    <row r="6" ht="19.5" customHeight="1" s="163">
      <c r="A6" s="186" t="inlineStr">
        <is>
          <t>ROTA S1 — ITAIPAVA - CUIABÁ - MADAME MACHADO · CAMINHÃO MÉDIO · 12 escolas · 11 paradas físicas</t>
        </is>
      </c>
    </row>
    <row r="7" ht="25.5" customHeight="1" s="163">
      <c r="A7" s="256" t="inlineStr">
        <is>
          <t>Sequência-base: Galpão Itaipava &gt; Itaipava &gt; Cuiabá &gt; Madame Machado &gt; Galpão   Atenção: Eixo majoritariamente pavimentado. Confirmar manobra apenas nos acessos internos.</t>
        </is>
      </c>
    </row>
    <row r="8" ht="30" customHeight="1" s="163">
      <c r="A8" s="257" t="inlineStr">
        <is>
          <t>PAR.</t>
        </is>
      </c>
      <c r="B8" s="257" t="inlineStr">
        <is>
          <t>SUB</t>
        </is>
      </c>
      <c r="C8" s="257" t="inlineStr">
        <is>
          <t>CÓDIGO</t>
        </is>
      </c>
      <c r="D8" s="257" t="inlineStr">
        <is>
          <t>ESCOLA</t>
        </is>
      </c>
      <c r="E8" s="257" t="inlineStr">
        <is>
          <t>BAIRRO/CORREDOR</t>
        </is>
      </c>
      <c r="F8" s="257" t="inlineStr">
        <is>
          <t>Abacate</t>
        </is>
      </c>
      <c r="G8" s="257" t="inlineStr">
        <is>
          <t>Abobrinha</t>
        </is>
      </c>
      <c r="H8" s="257" t="inlineStr">
        <is>
          <t>Agrião</t>
        </is>
      </c>
      <c r="I8" s="257" t="inlineStr">
        <is>
          <t>Alface lisa</t>
        </is>
      </c>
      <c r="J8" s="257" t="inlineStr">
        <is>
          <t>Banana prata</t>
        </is>
      </c>
      <c r="K8" s="257" t="inlineStr">
        <is>
          <t>Batata inglesa</t>
        </is>
      </c>
      <c r="L8" s="257" t="inlineStr">
        <is>
          <t>Beterraba</t>
        </is>
      </c>
      <c r="M8" s="257" t="inlineStr">
        <is>
          <t>Brócolis</t>
        </is>
      </c>
      <c r="N8" s="257" t="inlineStr">
        <is>
          <t>Cenoura</t>
        </is>
      </c>
      <c r="O8" s="257" t="inlineStr">
        <is>
          <t>Cheiro verde</t>
        </is>
      </c>
      <c r="P8" s="257" t="inlineStr">
        <is>
          <t>Chuchu</t>
        </is>
      </c>
      <c r="Q8" s="257" t="inlineStr">
        <is>
          <t>Couve manteiga</t>
        </is>
      </c>
      <c r="R8" s="257" t="inlineStr">
        <is>
          <t>Couve-flor</t>
        </is>
      </c>
      <c r="S8" s="257" t="inlineStr">
        <is>
          <t>Espinafre</t>
        </is>
      </c>
      <c r="T8" s="257" t="inlineStr">
        <is>
          <t>Maçã gala</t>
        </is>
      </c>
      <c r="U8" s="257" t="inlineStr">
        <is>
          <t>Mel</t>
        </is>
      </c>
      <c r="V8" s="257" t="inlineStr">
        <is>
          <t>Ovos (dz)</t>
        </is>
      </c>
      <c r="W8" s="257" t="inlineStr">
        <is>
          <t>Repolho</t>
        </is>
      </c>
      <c r="X8" s="257" t="inlineStr">
        <is>
          <t>Tangerina ponkan</t>
        </is>
      </c>
    </row>
    <row r="9" ht="15" customHeight="1" s="163">
      <c r="A9" s="258" t="n">
        <v>1</v>
      </c>
      <c r="B9" s="258" t="n"/>
      <c r="C9" s="258" t="inlineStr">
        <is>
          <t>3045</t>
        </is>
      </c>
      <c r="D9" s="259">
        <f>HYPERLINK("#'CEI LUIZ MARCHIORI'!A1","CEI LUIZ MARCHIORI")</f>
        <v/>
      </c>
      <c r="E9" s="259" t="inlineStr">
        <is>
          <t>ITAIPAVA</t>
        </is>
      </c>
      <c r="F9" s="260">
        <f>INDEX('Entrada de Dados'!C$6:C$196,MATCH($C9,'Entrada de Dados'!$A$6:$A$196,0))</f>
        <v/>
      </c>
      <c r="G9" s="260">
        <f>INDEX('Entrada de Dados'!D$6:D$196,MATCH($C9,'Entrada de Dados'!$A$6:$A$196,0))</f>
        <v/>
      </c>
      <c r="H9" s="260">
        <f>INDEX('Entrada de Dados'!E$6:E$196,MATCH($C9,'Entrada de Dados'!$A$6:$A$196,0))</f>
        <v/>
      </c>
      <c r="I9" s="260">
        <f>INDEX('Entrada de Dados'!F$6:F$196,MATCH($C9,'Entrada de Dados'!$A$6:$A$196,0))</f>
        <v/>
      </c>
      <c r="J9" s="260">
        <f>INDEX('Entrada de Dados'!G$6:G$196,MATCH($C9,'Entrada de Dados'!$A$6:$A$196,0))</f>
        <v/>
      </c>
      <c r="K9" s="260">
        <f>INDEX('Entrada de Dados'!H$6:H$196,MATCH($C9,'Entrada de Dados'!$A$6:$A$196,0))</f>
        <v/>
      </c>
      <c r="L9" s="260">
        <f>INDEX('Entrada de Dados'!I$6:I$196,MATCH($C9,'Entrada de Dados'!$A$6:$A$196,0))</f>
        <v/>
      </c>
      <c r="M9" s="260">
        <f>INDEX('Entrada de Dados'!J$6:J$196,MATCH($C9,'Entrada de Dados'!$A$6:$A$196,0))</f>
        <v/>
      </c>
      <c r="N9" s="260">
        <f>INDEX('Entrada de Dados'!K$6:K$196,MATCH($C9,'Entrada de Dados'!$A$6:$A$196,0))</f>
        <v/>
      </c>
      <c r="O9" s="260">
        <f>INDEX('Entrada de Dados'!L$6:L$196,MATCH($C9,'Entrada de Dados'!$A$6:$A$196,0))</f>
        <v/>
      </c>
      <c r="P9" s="260">
        <f>INDEX('Entrada de Dados'!M$6:M$196,MATCH($C9,'Entrada de Dados'!$A$6:$A$196,0))</f>
        <v/>
      </c>
      <c r="Q9" s="260">
        <f>INDEX('Entrada de Dados'!N$6:N$196,MATCH($C9,'Entrada de Dados'!$A$6:$A$196,0))</f>
        <v/>
      </c>
      <c r="R9" s="260">
        <f>INDEX('Entrada de Dados'!O$6:O$196,MATCH($C9,'Entrada de Dados'!$A$6:$A$196,0))</f>
        <v/>
      </c>
      <c r="S9" s="260">
        <f>INDEX('Entrada de Dados'!P$6:P$196,MATCH($C9,'Entrada de Dados'!$A$6:$A$196,0))</f>
        <v/>
      </c>
      <c r="T9" s="260">
        <f>INDEX('Entrada de Dados'!Q$6:Q$196,MATCH($C9,'Entrada de Dados'!$A$6:$A$196,0))</f>
        <v/>
      </c>
      <c r="U9" s="260">
        <f>INDEX('Entrada de Dados'!R$6:R$196,MATCH($C9,'Entrada de Dados'!$A$6:$A$196,0))</f>
        <v/>
      </c>
      <c r="V9" s="260">
        <f>INDEX('Entrada de Dados'!S$6:S$196,MATCH($C9,'Entrada de Dados'!$A$6:$A$196,0))</f>
        <v/>
      </c>
      <c r="W9" s="260">
        <f>INDEX('Entrada de Dados'!T$6:T$196,MATCH($C9,'Entrada de Dados'!$A$6:$A$196,0))</f>
        <v/>
      </c>
      <c r="X9" s="260">
        <f>INDEX('Entrada de Dados'!U$6:U$196,MATCH($C9,'Entrada de Dados'!$A$6:$A$196,0))</f>
        <v/>
      </c>
    </row>
    <row r="10" ht="15" customHeight="1" s="163">
      <c r="A10" s="258" t="n">
        <v>2</v>
      </c>
      <c r="B10" s="258" t="n"/>
      <c r="C10" s="258" t="inlineStr">
        <is>
          <t>1048</t>
        </is>
      </c>
      <c r="D10" s="259">
        <f>HYPERLINK("#'E M DR PAULA BUARQUE'!A1","E M DR PAULA BUARQUE")</f>
        <v/>
      </c>
      <c r="E10" s="259" t="inlineStr">
        <is>
          <t>ITAIPAVA</t>
        </is>
      </c>
      <c r="F10" s="260">
        <f>INDEX('Entrada de Dados'!C$6:C$196,MATCH($C10,'Entrada de Dados'!$A$6:$A$196,0))</f>
        <v/>
      </c>
      <c r="G10" s="260">
        <f>INDEX('Entrada de Dados'!D$6:D$196,MATCH($C10,'Entrada de Dados'!$A$6:$A$196,0))</f>
        <v/>
      </c>
      <c r="H10" s="260">
        <f>INDEX('Entrada de Dados'!E$6:E$196,MATCH($C10,'Entrada de Dados'!$A$6:$A$196,0))</f>
        <v/>
      </c>
      <c r="I10" s="260">
        <f>INDEX('Entrada de Dados'!F$6:F$196,MATCH($C10,'Entrada de Dados'!$A$6:$A$196,0))</f>
        <v/>
      </c>
      <c r="J10" s="260">
        <f>INDEX('Entrada de Dados'!G$6:G$196,MATCH($C10,'Entrada de Dados'!$A$6:$A$196,0))</f>
        <v/>
      </c>
      <c r="K10" s="260">
        <f>INDEX('Entrada de Dados'!H$6:H$196,MATCH($C10,'Entrada de Dados'!$A$6:$A$196,0))</f>
        <v/>
      </c>
      <c r="L10" s="260">
        <f>INDEX('Entrada de Dados'!I$6:I$196,MATCH($C10,'Entrada de Dados'!$A$6:$A$196,0))</f>
        <v/>
      </c>
      <c r="M10" s="260">
        <f>INDEX('Entrada de Dados'!J$6:J$196,MATCH($C10,'Entrada de Dados'!$A$6:$A$196,0))</f>
        <v/>
      </c>
      <c r="N10" s="260">
        <f>INDEX('Entrada de Dados'!K$6:K$196,MATCH($C10,'Entrada de Dados'!$A$6:$A$196,0))</f>
        <v/>
      </c>
      <c r="O10" s="260">
        <f>INDEX('Entrada de Dados'!L$6:L$196,MATCH($C10,'Entrada de Dados'!$A$6:$A$196,0))</f>
        <v/>
      </c>
      <c r="P10" s="260">
        <f>INDEX('Entrada de Dados'!M$6:M$196,MATCH($C10,'Entrada de Dados'!$A$6:$A$196,0))</f>
        <v/>
      </c>
      <c r="Q10" s="260">
        <f>INDEX('Entrada de Dados'!N$6:N$196,MATCH($C10,'Entrada de Dados'!$A$6:$A$196,0))</f>
        <v/>
      </c>
      <c r="R10" s="260">
        <f>INDEX('Entrada de Dados'!O$6:O$196,MATCH($C10,'Entrada de Dados'!$A$6:$A$196,0))</f>
        <v/>
      </c>
      <c r="S10" s="260">
        <f>INDEX('Entrada de Dados'!P$6:P$196,MATCH($C10,'Entrada de Dados'!$A$6:$A$196,0))</f>
        <v/>
      </c>
      <c r="T10" s="260">
        <f>INDEX('Entrada de Dados'!Q$6:Q$196,MATCH($C10,'Entrada de Dados'!$A$6:$A$196,0))</f>
        <v/>
      </c>
      <c r="U10" s="260">
        <f>INDEX('Entrada de Dados'!R$6:R$196,MATCH($C10,'Entrada de Dados'!$A$6:$A$196,0))</f>
        <v/>
      </c>
      <c r="V10" s="260">
        <f>INDEX('Entrada de Dados'!S$6:S$196,MATCH($C10,'Entrada de Dados'!$A$6:$A$196,0))</f>
        <v/>
      </c>
      <c r="W10" s="260">
        <f>INDEX('Entrada de Dados'!T$6:T$196,MATCH($C10,'Entrada de Dados'!$A$6:$A$196,0))</f>
        <v/>
      </c>
      <c r="X10" s="260">
        <f>INDEX('Entrada de Dados'!U$6:U$196,MATCH($C10,'Entrada de Dados'!$A$6:$A$196,0))</f>
        <v/>
      </c>
    </row>
    <row r="11" ht="15" customHeight="1" s="163">
      <c r="A11" s="258" t="n">
        <v>3</v>
      </c>
      <c r="B11" s="258" t="n"/>
      <c r="C11" s="258" t="inlineStr">
        <is>
          <t>1046</t>
        </is>
      </c>
      <c r="D11" s="259">
        <f>HYPERLINK("#'E M DARCY CORREA DA VEIGA'!A1","E M DARCY CORREA DA VEIGA")</f>
        <v/>
      </c>
      <c r="E11" s="259" t="inlineStr">
        <is>
          <t>ITAIPAVA</t>
        </is>
      </c>
      <c r="F11" s="260">
        <f>INDEX('Entrada de Dados'!C$6:C$196,MATCH($C11,'Entrada de Dados'!$A$6:$A$196,0))</f>
        <v/>
      </c>
      <c r="G11" s="260">
        <f>INDEX('Entrada de Dados'!D$6:D$196,MATCH($C11,'Entrada de Dados'!$A$6:$A$196,0))</f>
        <v/>
      </c>
      <c r="H11" s="260">
        <f>INDEX('Entrada de Dados'!E$6:E$196,MATCH($C11,'Entrada de Dados'!$A$6:$A$196,0))</f>
        <v/>
      </c>
      <c r="I11" s="260">
        <f>INDEX('Entrada de Dados'!F$6:F$196,MATCH($C11,'Entrada de Dados'!$A$6:$A$196,0))</f>
        <v/>
      </c>
      <c r="J11" s="260">
        <f>INDEX('Entrada de Dados'!G$6:G$196,MATCH($C11,'Entrada de Dados'!$A$6:$A$196,0))</f>
        <v/>
      </c>
      <c r="K11" s="260">
        <f>INDEX('Entrada de Dados'!H$6:H$196,MATCH($C11,'Entrada de Dados'!$A$6:$A$196,0))</f>
        <v/>
      </c>
      <c r="L11" s="260">
        <f>INDEX('Entrada de Dados'!I$6:I$196,MATCH($C11,'Entrada de Dados'!$A$6:$A$196,0))</f>
        <v/>
      </c>
      <c r="M11" s="260">
        <f>INDEX('Entrada de Dados'!J$6:J$196,MATCH($C11,'Entrada de Dados'!$A$6:$A$196,0))</f>
        <v/>
      </c>
      <c r="N11" s="260">
        <f>INDEX('Entrada de Dados'!K$6:K$196,MATCH($C11,'Entrada de Dados'!$A$6:$A$196,0))</f>
        <v/>
      </c>
      <c r="O11" s="260">
        <f>INDEX('Entrada de Dados'!L$6:L$196,MATCH($C11,'Entrada de Dados'!$A$6:$A$196,0))</f>
        <v/>
      </c>
      <c r="P11" s="260">
        <f>INDEX('Entrada de Dados'!M$6:M$196,MATCH($C11,'Entrada de Dados'!$A$6:$A$196,0))</f>
        <v/>
      </c>
      <c r="Q11" s="260">
        <f>INDEX('Entrada de Dados'!N$6:N$196,MATCH($C11,'Entrada de Dados'!$A$6:$A$196,0))</f>
        <v/>
      </c>
      <c r="R11" s="260">
        <f>INDEX('Entrada de Dados'!O$6:O$196,MATCH($C11,'Entrada de Dados'!$A$6:$A$196,0))</f>
        <v/>
      </c>
      <c r="S11" s="260">
        <f>INDEX('Entrada de Dados'!P$6:P$196,MATCH($C11,'Entrada de Dados'!$A$6:$A$196,0))</f>
        <v/>
      </c>
      <c r="T11" s="260">
        <f>INDEX('Entrada de Dados'!Q$6:Q$196,MATCH($C11,'Entrada de Dados'!$A$6:$A$196,0))</f>
        <v/>
      </c>
      <c r="U11" s="260">
        <f>INDEX('Entrada de Dados'!R$6:R$196,MATCH($C11,'Entrada de Dados'!$A$6:$A$196,0))</f>
        <v/>
      </c>
      <c r="V11" s="260">
        <f>INDEX('Entrada de Dados'!S$6:S$196,MATCH($C11,'Entrada de Dados'!$A$6:$A$196,0))</f>
        <v/>
      </c>
      <c r="W11" s="260">
        <f>INDEX('Entrada de Dados'!T$6:T$196,MATCH($C11,'Entrada de Dados'!$A$6:$A$196,0))</f>
        <v/>
      </c>
      <c r="X11" s="260">
        <f>INDEX('Entrada de Dados'!U$6:U$196,MATCH($C11,'Entrada de Dados'!$A$6:$A$196,0))</f>
        <v/>
      </c>
    </row>
    <row r="12" ht="15" customHeight="1" s="163">
      <c r="A12" s="261" t="n">
        <v>4</v>
      </c>
      <c r="B12" s="261" t="inlineStr">
        <is>
          <t>A</t>
        </is>
      </c>
      <c r="C12" s="262" t="inlineStr">
        <is>
          <t>1044</t>
        </is>
      </c>
      <c r="D12" s="263">
        <f>HYPERLINK("#'ESCOLA MUNICIPAL AUGUSTO PUGNAL'!A1","ESCOLA MUNICIPAL AUGUSTO PUGNALONI")</f>
        <v/>
      </c>
      <c r="E12" s="263" t="inlineStr">
        <is>
          <t>ITAIPAVA</t>
        </is>
      </c>
      <c r="F12" s="264">
        <f>INDEX('Entrada de Dados'!C$6:C$196,MATCH($C12,'Entrada de Dados'!$A$6:$A$196,0))</f>
        <v/>
      </c>
      <c r="G12" s="264">
        <f>INDEX('Entrada de Dados'!D$6:D$196,MATCH($C12,'Entrada de Dados'!$A$6:$A$196,0))</f>
        <v/>
      </c>
      <c r="H12" s="264">
        <f>INDEX('Entrada de Dados'!E$6:E$196,MATCH($C12,'Entrada de Dados'!$A$6:$A$196,0))</f>
        <v/>
      </c>
      <c r="I12" s="264">
        <f>INDEX('Entrada de Dados'!F$6:F$196,MATCH($C12,'Entrada de Dados'!$A$6:$A$196,0))</f>
        <v/>
      </c>
      <c r="J12" s="264">
        <f>INDEX('Entrada de Dados'!G$6:G$196,MATCH($C12,'Entrada de Dados'!$A$6:$A$196,0))</f>
        <v/>
      </c>
      <c r="K12" s="264">
        <f>INDEX('Entrada de Dados'!H$6:H$196,MATCH($C12,'Entrada de Dados'!$A$6:$A$196,0))</f>
        <v/>
      </c>
      <c r="L12" s="264">
        <f>INDEX('Entrada de Dados'!I$6:I$196,MATCH($C12,'Entrada de Dados'!$A$6:$A$196,0))</f>
        <v/>
      </c>
      <c r="M12" s="264">
        <f>INDEX('Entrada de Dados'!J$6:J$196,MATCH($C12,'Entrada de Dados'!$A$6:$A$196,0))</f>
        <v/>
      </c>
      <c r="N12" s="264">
        <f>INDEX('Entrada de Dados'!K$6:K$196,MATCH($C12,'Entrada de Dados'!$A$6:$A$196,0))</f>
        <v/>
      </c>
      <c r="O12" s="264">
        <f>INDEX('Entrada de Dados'!L$6:L$196,MATCH($C12,'Entrada de Dados'!$A$6:$A$196,0))</f>
        <v/>
      </c>
      <c r="P12" s="264">
        <f>INDEX('Entrada de Dados'!M$6:M$196,MATCH($C12,'Entrada de Dados'!$A$6:$A$196,0))</f>
        <v/>
      </c>
      <c r="Q12" s="264">
        <f>INDEX('Entrada de Dados'!N$6:N$196,MATCH($C12,'Entrada de Dados'!$A$6:$A$196,0))</f>
        <v/>
      </c>
      <c r="R12" s="264">
        <f>INDEX('Entrada de Dados'!O$6:O$196,MATCH($C12,'Entrada de Dados'!$A$6:$A$196,0))</f>
        <v/>
      </c>
      <c r="S12" s="264">
        <f>INDEX('Entrada de Dados'!P$6:P$196,MATCH($C12,'Entrada de Dados'!$A$6:$A$196,0))</f>
        <v/>
      </c>
      <c r="T12" s="264">
        <f>INDEX('Entrada de Dados'!Q$6:Q$196,MATCH($C12,'Entrada de Dados'!$A$6:$A$196,0))</f>
        <v/>
      </c>
      <c r="U12" s="264">
        <f>INDEX('Entrada de Dados'!R$6:R$196,MATCH($C12,'Entrada de Dados'!$A$6:$A$196,0))</f>
        <v/>
      </c>
      <c r="V12" s="264">
        <f>INDEX('Entrada de Dados'!S$6:S$196,MATCH($C12,'Entrada de Dados'!$A$6:$A$196,0))</f>
        <v/>
      </c>
      <c r="W12" s="264">
        <f>INDEX('Entrada de Dados'!T$6:T$196,MATCH($C12,'Entrada de Dados'!$A$6:$A$196,0))</f>
        <v/>
      </c>
      <c r="X12" s="264">
        <f>INDEX('Entrada de Dados'!U$6:U$196,MATCH($C12,'Entrada de Dados'!$A$6:$A$196,0))</f>
        <v/>
      </c>
    </row>
    <row r="13" ht="15" customHeight="1" s="163">
      <c r="A13" s="261" t="n">
        <v>4</v>
      </c>
      <c r="B13" s="261" t="inlineStr">
        <is>
          <t>B</t>
        </is>
      </c>
      <c r="C13" s="262" t="inlineStr">
        <is>
          <t>3075</t>
        </is>
      </c>
      <c r="D13" s="263">
        <f>HYPERLINK("#'CENTRO DE EDUCAÇÃO INFANTIL AUG'!A1","CENTRO DE EDUCAÇÃO INFANTIL AUGUSTO PUGNALONI")</f>
        <v/>
      </c>
      <c r="E13" s="263" t="inlineStr">
        <is>
          <t>ITAIPAVA</t>
        </is>
      </c>
      <c r="F13" s="264">
        <f>INDEX('Entrada de Dados'!C$6:C$196,MATCH($C13,'Entrada de Dados'!$A$6:$A$196,0))</f>
        <v/>
      </c>
      <c r="G13" s="264">
        <f>INDEX('Entrada de Dados'!D$6:D$196,MATCH($C13,'Entrada de Dados'!$A$6:$A$196,0))</f>
        <v/>
      </c>
      <c r="H13" s="264">
        <f>INDEX('Entrada de Dados'!E$6:E$196,MATCH($C13,'Entrada de Dados'!$A$6:$A$196,0))</f>
        <v/>
      </c>
      <c r="I13" s="264">
        <f>INDEX('Entrada de Dados'!F$6:F$196,MATCH($C13,'Entrada de Dados'!$A$6:$A$196,0))</f>
        <v/>
      </c>
      <c r="J13" s="264">
        <f>INDEX('Entrada de Dados'!G$6:G$196,MATCH($C13,'Entrada de Dados'!$A$6:$A$196,0))</f>
        <v/>
      </c>
      <c r="K13" s="264">
        <f>INDEX('Entrada de Dados'!H$6:H$196,MATCH($C13,'Entrada de Dados'!$A$6:$A$196,0))</f>
        <v/>
      </c>
      <c r="L13" s="264">
        <f>INDEX('Entrada de Dados'!I$6:I$196,MATCH($C13,'Entrada de Dados'!$A$6:$A$196,0))</f>
        <v/>
      </c>
      <c r="M13" s="264">
        <f>INDEX('Entrada de Dados'!J$6:J$196,MATCH($C13,'Entrada de Dados'!$A$6:$A$196,0))</f>
        <v/>
      </c>
      <c r="N13" s="264">
        <f>INDEX('Entrada de Dados'!K$6:K$196,MATCH($C13,'Entrada de Dados'!$A$6:$A$196,0))</f>
        <v/>
      </c>
      <c r="O13" s="264">
        <f>INDEX('Entrada de Dados'!L$6:L$196,MATCH($C13,'Entrada de Dados'!$A$6:$A$196,0))</f>
        <v/>
      </c>
      <c r="P13" s="264">
        <f>INDEX('Entrada de Dados'!M$6:M$196,MATCH($C13,'Entrada de Dados'!$A$6:$A$196,0))</f>
        <v/>
      </c>
      <c r="Q13" s="264">
        <f>INDEX('Entrada de Dados'!N$6:N$196,MATCH($C13,'Entrada de Dados'!$A$6:$A$196,0))</f>
        <v/>
      </c>
      <c r="R13" s="264">
        <f>INDEX('Entrada de Dados'!O$6:O$196,MATCH($C13,'Entrada de Dados'!$A$6:$A$196,0))</f>
        <v/>
      </c>
      <c r="S13" s="264">
        <f>INDEX('Entrada de Dados'!P$6:P$196,MATCH($C13,'Entrada de Dados'!$A$6:$A$196,0))</f>
        <v/>
      </c>
      <c r="T13" s="264">
        <f>INDEX('Entrada de Dados'!Q$6:Q$196,MATCH($C13,'Entrada de Dados'!$A$6:$A$196,0))</f>
        <v/>
      </c>
      <c r="U13" s="264">
        <f>INDEX('Entrada de Dados'!R$6:R$196,MATCH($C13,'Entrada de Dados'!$A$6:$A$196,0))</f>
        <v/>
      </c>
      <c r="V13" s="264">
        <f>INDEX('Entrada de Dados'!S$6:S$196,MATCH($C13,'Entrada de Dados'!$A$6:$A$196,0))</f>
        <v/>
      </c>
      <c r="W13" s="264">
        <f>INDEX('Entrada de Dados'!T$6:T$196,MATCH($C13,'Entrada de Dados'!$A$6:$A$196,0))</f>
        <v/>
      </c>
      <c r="X13" s="264">
        <f>INDEX('Entrada de Dados'!U$6:U$196,MATCH($C13,'Entrada de Dados'!$A$6:$A$196,0))</f>
        <v/>
      </c>
    </row>
    <row r="14" ht="15" customHeight="1" s="163">
      <c r="A14" s="258" t="n">
        <v>5</v>
      </c>
      <c r="B14" s="258" t="n"/>
      <c r="C14" s="258" t="inlineStr">
        <is>
          <t>2045</t>
        </is>
      </c>
      <c r="D14" s="259">
        <f>HYPERLINK("#'LICEU SÃO JOSÉ DE ITAIPAVA'!A1","LICEU SÃO JOSÉ DE ITAIPAVA")</f>
        <v/>
      </c>
      <c r="E14" s="259" t="inlineStr">
        <is>
          <t>ITAIPAVA</t>
        </is>
      </c>
      <c r="F14" s="260">
        <f>INDEX('Entrada de Dados'!C$6:C$196,MATCH($C14,'Entrada de Dados'!$A$6:$A$196,0))</f>
        <v/>
      </c>
      <c r="G14" s="260">
        <f>INDEX('Entrada de Dados'!D$6:D$196,MATCH($C14,'Entrada de Dados'!$A$6:$A$196,0))</f>
        <v/>
      </c>
      <c r="H14" s="260">
        <f>INDEX('Entrada de Dados'!E$6:E$196,MATCH($C14,'Entrada de Dados'!$A$6:$A$196,0))</f>
        <v/>
      </c>
      <c r="I14" s="260">
        <f>INDEX('Entrada de Dados'!F$6:F$196,MATCH($C14,'Entrada de Dados'!$A$6:$A$196,0))</f>
        <v/>
      </c>
      <c r="J14" s="260">
        <f>INDEX('Entrada de Dados'!G$6:G$196,MATCH($C14,'Entrada de Dados'!$A$6:$A$196,0))</f>
        <v/>
      </c>
      <c r="K14" s="260">
        <f>INDEX('Entrada de Dados'!H$6:H$196,MATCH($C14,'Entrada de Dados'!$A$6:$A$196,0))</f>
        <v/>
      </c>
      <c r="L14" s="260">
        <f>INDEX('Entrada de Dados'!I$6:I$196,MATCH($C14,'Entrada de Dados'!$A$6:$A$196,0))</f>
        <v/>
      </c>
      <c r="M14" s="260">
        <f>INDEX('Entrada de Dados'!J$6:J$196,MATCH($C14,'Entrada de Dados'!$A$6:$A$196,0))</f>
        <v/>
      </c>
      <c r="N14" s="260">
        <f>INDEX('Entrada de Dados'!K$6:K$196,MATCH($C14,'Entrada de Dados'!$A$6:$A$196,0))</f>
        <v/>
      </c>
      <c r="O14" s="260">
        <f>INDEX('Entrada de Dados'!L$6:L$196,MATCH($C14,'Entrada de Dados'!$A$6:$A$196,0))</f>
        <v/>
      </c>
      <c r="P14" s="260">
        <f>INDEX('Entrada de Dados'!M$6:M$196,MATCH($C14,'Entrada de Dados'!$A$6:$A$196,0))</f>
        <v/>
      </c>
      <c r="Q14" s="260">
        <f>INDEX('Entrada de Dados'!N$6:N$196,MATCH($C14,'Entrada de Dados'!$A$6:$A$196,0))</f>
        <v/>
      </c>
      <c r="R14" s="260">
        <f>INDEX('Entrada de Dados'!O$6:O$196,MATCH($C14,'Entrada de Dados'!$A$6:$A$196,0))</f>
        <v/>
      </c>
      <c r="S14" s="260">
        <f>INDEX('Entrada de Dados'!P$6:P$196,MATCH($C14,'Entrada de Dados'!$A$6:$A$196,0))</f>
        <v/>
      </c>
      <c r="T14" s="260">
        <f>INDEX('Entrada de Dados'!Q$6:Q$196,MATCH($C14,'Entrada de Dados'!$A$6:$A$196,0))</f>
        <v/>
      </c>
      <c r="U14" s="260">
        <f>INDEX('Entrada de Dados'!R$6:R$196,MATCH($C14,'Entrada de Dados'!$A$6:$A$196,0))</f>
        <v/>
      </c>
      <c r="V14" s="260">
        <f>INDEX('Entrada de Dados'!S$6:S$196,MATCH($C14,'Entrada de Dados'!$A$6:$A$196,0))</f>
        <v/>
      </c>
      <c r="W14" s="260">
        <f>INDEX('Entrada de Dados'!T$6:T$196,MATCH($C14,'Entrada de Dados'!$A$6:$A$196,0))</f>
        <v/>
      </c>
      <c r="X14" s="260">
        <f>INDEX('Entrada de Dados'!U$6:U$196,MATCH($C14,'Entrada de Dados'!$A$6:$A$196,0))</f>
        <v/>
      </c>
    </row>
    <row r="15" ht="15" customHeight="1" s="163">
      <c r="A15" s="258" t="n">
        <v>6</v>
      </c>
      <c r="B15" s="258" t="n"/>
      <c r="C15" s="258" t="inlineStr">
        <is>
          <t>1045</t>
        </is>
      </c>
      <c r="D15" s="259">
        <f>HYPERLINK("#'ESCOLA MUNICIPAL CELINA SCHECHN'!A1","ESCOLA MUNICIPAL CELINA SCHECHNER")</f>
        <v/>
      </c>
      <c r="E15" s="259" t="inlineStr">
        <is>
          <t>ITAIPAVA</t>
        </is>
      </c>
      <c r="F15" s="260">
        <f>INDEX('Entrada de Dados'!C$6:C$196,MATCH($C15,'Entrada de Dados'!$A$6:$A$196,0))</f>
        <v/>
      </c>
      <c r="G15" s="260">
        <f>INDEX('Entrada de Dados'!D$6:D$196,MATCH($C15,'Entrada de Dados'!$A$6:$A$196,0))</f>
        <v/>
      </c>
      <c r="H15" s="260">
        <f>INDEX('Entrada de Dados'!E$6:E$196,MATCH($C15,'Entrada de Dados'!$A$6:$A$196,0))</f>
        <v/>
      </c>
      <c r="I15" s="260">
        <f>INDEX('Entrada de Dados'!F$6:F$196,MATCH($C15,'Entrada de Dados'!$A$6:$A$196,0))</f>
        <v/>
      </c>
      <c r="J15" s="260">
        <f>INDEX('Entrada de Dados'!G$6:G$196,MATCH($C15,'Entrada de Dados'!$A$6:$A$196,0))</f>
        <v/>
      </c>
      <c r="K15" s="260">
        <f>INDEX('Entrada de Dados'!H$6:H$196,MATCH($C15,'Entrada de Dados'!$A$6:$A$196,0))</f>
        <v/>
      </c>
      <c r="L15" s="260">
        <f>INDEX('Entrada de Dados'!I$6:I$196,MATCH($C15,'Entrada de Dados'!$A$6:$A$196,0))</f>
        <v/>
      </c>
      <c r="M15" s="260">
        <f>INDEX('Entrada de Dados'!J$6:J$196,MATCH($C15,'Entrada de Dados'!$A$6:$A$196,0))</f>
        <v/>
      </c>
      <c r="N15" s="260">
        <f>INDEX('Entrada de Dados'!K$6:K$196,MATCH($C15,'Entrada de Dados'!$A$6:$A$196,0))</f>
        <v/>
      </c>
      <c r="O15" s="260">
        <f>INDEX('Entrada de Dados'!L$6:L$196,MATCH($C15,'Entrada de Dados'!$A$6:$A$196,0))</f>
        <v/>
      </c>
      <c r="P15" s="260">
        <f>INDEX('Entrada de Dados'!M$6:M$196,MATCH($C15,'Entrada de Dados'!$A$6:$A$196,0))</f>
        <v/>
      </c>
      <c r="Q15" s="260">
        <f>INDEX('Entrada de Dados'!N$6:N$196,MATCH($C15,'Entrada de Dados'!$A$6:$A$196,0))</f>
        <v/>
      </c>
      <c r="R15" s="260">
        <f>INDEX('Entrada de Dados'!O$6:O$196,MATCH($C15,'Entrada de Dados'!$A$6:$A$196,0))</f>
        <v/>
      </c>
      <c r="S15" s="260">
        <f>INDEX('Entrada de Dados'!P$6:P$196,MATCH($C15,'Entrada de Dados'!$A$6:$A$196,0))</f>
        <v/>
      </c>
      <c r="T15" s="260">
        <f>INDEX('Entrada de Dados'!Q$6:Q$196,MATCH($C15,'Entrada de Dados'!$A$6:$A$196,0))</f>
        <v/>
      </c>
      <c r="U15" s="260">
        <f>INDEX('Entrada de Dados'!R$6:R$196,MATCH($C15,'Entrada de Dados'!$A$6:$A$196,0))</f>
        <v/>
      </c>
      <c r="V15" s="260">
        <f>INDEX('Entrada de Dados'!S$6:S$196,MATCH($C15,'Entrada de Dados'!$A$6:$A$196,0))</f>
        <v/>
      </c>
      <c r="W15" s="260">
        <f>INDEX('Entrada de Dados'!T$6:T$196,MATCH($C15,'Entrada de Dados'!$A$6:$A$196,0))</f>
        <v/>
      </c>
      <c r="X15" s="260">
        <f>INDEX('Entrada de Dados'!U$6:U$196,MATCH($C15,'Entrada de Dados'!$A$6:$A$196,0))</f>
        <v/>
      </c>
    </row>
    <row r="16" ht="15" customHeight="1" s="163">
      <c r="A16" s="258" t="n">
        <v>7</v>
      </c>
      <c r="B16" s="258" t="n"/>
      <c r="C16" s="258" t="inlineStr">
        <is>
          <t>3078</t>
        </is>
      </c>
      <c r="D16" s="259">
        <f>HYPERLINK("#'CEI PROFª ADRIANA CONSTÂNCIO TR'!A1","CEI PROFª ADRIANA CONSTÂNCIO TRINDADE")</f>
        <v/>
      </c>
      <c r="E16" s="259" t="inlineStr">
        <is>
          <t>ITAIPAVA</t>
        </is>
      </c>
      <c r="F16" s="260">
        <f>INDEX('Entrada de Dados'!C$6:C$196,MATCH($C16,'Entrada de Dados'!$A$6:$A$196,0))</f>
        <v/>
      </c>
      <c r="G16" s="260">
        <f>INDEX('Entrada de Dados'!D$6:D$196,MATCH($C16,'Entrada de Dados'!$A$6:$A$196,0))</f>
        <v/>
      </c>
      <c r="H16" s="260">
        <f>INDEX('Entrada de Dados'!E$6:E$196,MATCH($C16,'Entrada de Dados'!$A$6:$A$196,0))</f>
        <v/>
      </c>
      <c r="I16" s="260">
        <f>INDEX('Entrada de Dados'!F$6:F$196,MATCH($C16,'Entrada de Dados'!$A$6:$A$196,0))</f>
        <v/>
      </c>
      <c r="J16" s="260">
        <f>INDEX('Entrada de Dados'!G$6:G$196,MATCH($C16,'Entrada de Dados'!$A$6:$A$196,0))</f>
        <v/>
      </c>
      <c r="K16" s="260">
        <f>INDEX('Entrada de Dados'!H$6:H$196,MATCH($C16,'Entrada de Dados'!$A$6:$A$196,0))</f>
        <v/>
      </c>
      <c r="L16" s="260">
        <f>INDEX('Entrada de Dados'!I$6:I$196,MATCH($C16,'Entrada de Dados'!$A$6:$A$196,0))</f>
        <v/>
      </c>
      <c r="M16" s="260">
        <f>INDEX('Entrada de Dados'!J$6:J$196,MATCH($C16,'Entrada de Dados'!$A$6:$A$196,0))</f>
        <v/>
      </c>
      <c r="N16" s="260">
        <f>INDEX('Entrada de Dados'!K$6:K$196,MATCH($C16,'Entrada de Dados'!$A$6:$A$196,0))</f>
        <v/>
      </c>
      <c r="O16" s="260">
        <f>INDEX('Entrada de Dados'!L$6:L$196,MATCH($C16,'Entrada de Dados'!$A$6:$A$196,0))</f>
        <v/>
      </c>
      <c r="P16" s="260">
        <f>INDEX('Entrada de Dados'!M$6:M$196,MATCH($C16,'Entrada de Dados'!$A$6:$A$196,0))</f>
        <v/>
      </c>
      <c r="Q16" s="260">
        <f>INDEX('Entrada de Dados'!N$6:N$196,MATCH($C16,'Entrada de Dados'!$A$6:$A$196,0))</f>
        <v/>
      </c>
      <c r="R16" s="260">
        <f>INDEX('Entrada de Dados'!O$6:O$196,MATCH($C16,'Entrada de Dados'!$A$6:$A$196,0))</f>
        <v/>
      </c>
      <c r="S16" s="260">
        <f>INDEX('Entrada de Dados'!P$6:P$196,MATCH($C16,'Entrada de Dados'!$A$6:$A$196,0))</f>
        <v/>
      </c>
      <c r="T16" s="260">
        <f>INDEX('Entrada de Dados'!Q$6:Q$196,MATCH($C16,'Entrada de Dados'!$A$6:$A$196,0))</f>
        <v/>
      </c>
      <c r="U16" s="260">
        <f>INDEX('Entrada de Dados'!R$6:R$196,MATCH($C16,'Entrada de Dados'!$A$6:$A$196,0))</f>
        <v/>
      </c>
      <c r="V16" s="260">
        <f>INDEX('Entrada de Dados'!S$6:S$196,MATCH($C16,'Entrada de Dados'!$A$6:$A$196,0))</f>
        <v/>
      </c>
      <c r="W16" s="260">
        <f>INDEX('Entrada de Dados'!T$6:T$196,MATCH($C16,'Entrada de Dados'!$A$6:$A$196,0))</f>
        <v/>
      </c>
      <c r="X16" s="260">
        <f>INDEX('Entrada de Dados'!U$6:U$196,MATCH($C16,'Entrada de Dados'!$A$6:$A$196,0))</f>
        <v/>
      </c>
    </row>
    <row r="17" ht="15" customHeight="1" s="163">
      <c r="A17" s="258" t="n">
        <v>8</v>
      </c>
      <c r="B17" s="258" t="n"/>
      <c r="C17" s="258" t="inlineStr">
        <is>
          <t>2044</t>
        </is>
      </c>
      <c r="D17" s="259">
        <f>HYPERLINK("#'ESCOLA SANTO ANTÔNIO'!A1","ESCOLA SANTO ANTÔNIO")</f>
        <v/>
      </c>
      <c r="E17" s="259" t="inlineStr">
        <is>
          <t>CUIABÁ</t>
        </is>
      </c>
      <c r="F17" s="260">
        <f>INDEX('Entrada de Dados'!C$6:C$196,MATCH($C17,'Entrada de Dados'!$A$6:$A$196,0))</f>
        <v/>
      </c>
      <c r="G17" s="260">
        <f>INDEX('Entrada de Dados'!D$6:D$196,MATCH($C17,'Entrada de Dados'!$A$6:$A$196,0))</f>
        <v/>
      </c>
      <c r="H17" s="260">
        <f>INDEX('Entrada de Dados'!E$6:E$196,MATCH($C17,'Entrada de Dados'!$A$6:$A$196,0))</f>
        <v/>
      </c>
      <c r="I17" s="260">
        <f>INDEX('Entrada de Dados'!F$6:F$196,MATCH($C17,'Entrada de Dados'!$A$6:$A$196,0))</f>
        <v/>
      </c>
      <c r="J17" s="260">
        <f>INDEX('Entrada de Dados'!G$6:G$196,MATCH($C17,'Entrada de Dados'!$A$6:$A$196,0))</f>
        <v/>
      </c>
      <c r="K17" s="260">
        <f>INDEX('Entrada de Dados'!H$6:H$196,MATCH($C17,'Entrada de Dados'!$A$6:$A$196,0))</f>
        <v/>
      </c>
      <c r="L17" s="260">
        <f>INDEX('Entrada de Dados'!I$6:I$196,MATCH($C17,'Entrada de Dados'!$A$6:$A$196,0))</f>
        <v/>
      </c>
      <c r="M17" s="260">
        <f>INDEX('Entrada de Dados'!J$6:J$196,MATCH($C17,'Entrada de Dados'!$A$6:$A$196,0))</f>
        <v/>
      </c>
      <c r="N17" s="260">
        <f>INDEX('Entrada de Dados'!K$6:K$196,MATCH($C17,'Entrada de Dados'!$A$6:$A$196,0))</f>
        <v/>
      </c>
      <c r="O17" s="260">
        <f>INDEX('Entrada de Dados'!L$6:L$196,MATCH($C17,'Entrada de Dados'!$A$6:$A$196,0))</f>
        <v/>
      </c>
      <c r="P17" s="260">
        <f>INDEX('Entrada de Dados'!M$6:M$196,MATCH($C17,'Entrada de Dados'!$A$6:$A$196,0))</f>
        <v/>
      </c>
      <c r="Q17" s="260">
        <f>INDEX('Entrada de Dados'!N$6:N$196,MATCH($C17,'Entrada de Dados'!$A$6:$A$196,0))</f>
        <v/>
      </c>
      <c r="R17" s="260">
        <f>INDEX('Entrada de Dados'!O$6:O$196,MATCH($C17,'Entrada de Dados'!$A$6:$A$196,0))</f>
        <v/>
      </c>
      <c r="S17" s="260">
        <f>INDEX('Entrada de Dados'!P$6:P$196,MATCH($C17,'Entrada de Dados'!$A$6:$A$196,0))</f>
        <v/>
      </c>
      <c r="T17" s="260">
        <f>INDEX('Entrada de Dados'!Q$6:Q$196,MATCH($C17,'Entrada de Dados'!$A$6:$A$196,0))</f>
        <v/>
      </c>
      <c r="U17" s="260">
        <f>INDEX('Entrada de Dados'!R$6:R$196,MATCH($C17,'Entrada de Dados'!$A$6:$A$196,0))</f>
        <v/>
      </c>
      <c r="V17" s="260">
        <f>INDEX('Entrada de Dados'!S$6:S$196,MATCH($C17,'Entrada de Dados'!$A$6:$A$196,0))</f>
        <v/>
      </c>
      <c r="W17" s="260">
        <f>INDEX('Entrada de Dados'!T$6:T$196,MATCH($C17,'Entrada de Dados'!$A$6:$A$196,0))</f>
        <v/>
      </c>
      <c r="X17" s="260">
        <f>INDEX('Entrada de Dados'!U$6:U$196,MATCH($C17,'Entrada de Dados'!$A$6:$A$196,0))</f>
        <v/>
      </c>
    </row>
    <row r="18" ht="15" customHeight="1" s="163">
      <c r="A18" s="258" t="n">
        <v>9</v>
      </c>
      <c r="B18" s="258" t="n"/>
      <c r="C18" s="258" t="inlineStr">
        <is>
          <t>1049</t>
        </is>
      </c>
      <c r="D18" s="259">
        <f>HYPERLINK("#'E M DR THEODORO MACHADO'!A1","E M DR THEODORO MACHADO")</f>
        <v/>
      </c>
      <c r="E18" s="259" t="inlineStr">
        <is>
          <t>CUIABÁ</t>
        </is>
      </c>
      <c r="F18" s="260">
        <f>INDEX('Entrada de Dados'!C$6:C$196,MATCH($C18,'Entrada de Dados'!$A$6:$A$196,0))</f>
        <v/>
      </c>
      <c r="G18" s="260">
        <f>INDEX('Entrada de Dados'!D$6:D$196,MATCH($C18,'Entrada de Dados'!$A$6:$A$196,0))</f>
        <v/>
      </c>
      <c r="H18" s="260">
        <f>INDEX('Entrada de Dados'!E$6:E$196,MATCH($C18,'Entrada de Dados'!$A$6:$A$196,0))</f>
        <v/>
      </c>
      <c r="I18" s="260">
        <f>INDEX('Entrada de Dados'!F$6:F$196,MATCH($C18,'Entrada de Dados'!$A$6:$A$196,0))</f>
        <v/>
      </c>
      <c r="J18" s="260">
        <f>INDEX('Entrada de Dados'!G$6:G$196,MATCH($C18,'Entrada de Dados'!$A$6:$A$196,0))</f>
        <v/>
      </c>
      <c r="K18" s="260">
        <f>INDEX('Entrada de Dados'!H$6:H$196,MATCH($C18,'Entrada de Dados'!$A$6:$A$196,0))</f>
        <v/>
      </c>
      <c r="L18" s="260">
        <f>INDEX('Entrada de Dados'!I$6:I$196,MATCH($C18,'Entrada de Dados'!$A$6:$A$196,0))</f>
        <v/>
      </c>
      <c r="M18" s="260">
        <f>INDEX('Entrada de Dados'!J$6:J$196,MATCH($C18,'Entrada de Dados'!$A$6:$A$196,0))</f>
        <v/>
      </c>
      <c r="N18" s="260">
        <f>INDEX('Entrada de Dados'!K$6:K$196,MATCH($C18,'Entrada de Dados'!$A$6:$A$196,0))</f>
        <v/>
      </c>
      <c r="O18" s="260">
        <f>INDEX('Entrada de Dados'!L$6:L$196,MATCH($C18,'Entrada de Dados'!$A$6:$A$196,0))</f>
        <v/>
      </c>
      <c r="P18" s="260">
        <f>INDEX('Entrada de Dados'!M$6:M$196,MATCH($C18,'Entrada de Dados'!$A$6:$A$196,0))</f>
        <v/>
      </c>
      <c r="Q18" s="260">
        <f>INDEX('Entrada de Dados'!N$6:N$196,MATCH($C18,'Entrada de Dados'!$A$6:$A$196,0))</f>
        <v/>
      </c>
      <c r="R18" s="260">
        <f>INDEX('Entrada de Dados'!O$6:O$196,MATCH($C18,'Entrada de Dados'!$A$6:$A$196,0))</f>
        <v/>
      </c>
      <c r="S18" s="260">
        <f>INDEX('Entrada de Dados'!P$6:P$196,MATCH($C18,'Entrada de Dados'!$A$6:$A$196,0))</f>
        <v/>
      </c>
      <c r="T18" s="260">
        <f>INDEX('Entrada de Dados'!Q$6:Q$196,MATCH($C18,'Entrada de Dados'!$A$6:$A$196,0))</f>
        <v/>
      </c>
      <c r="U18" s="260">
        <f>INDEX('Entrada de Dados'!R$6:R$196,MATCH($C18,'Entrada de Dados'!$A$6:$A$196,0))</f>
        <v/>
      </c>
      <c r="V18" s="260">
        <f>INDEX('Entrada de Dados'!S$6:S$196,MATCH($C18,'Entrada de Dados'!$A$6:$A$196,0))</f>
        <v/>
      </c>
      <c r="W18" s="260">
        <f>INDEX('Entrada de Dados'!T$6:T$196,MATCH($C18,'Entrada de Dados'!$A$6:$A$196,0))</f>
        <v/>
      </c>
      <c r="X18" s="260">
        <f>INDEX('Entrada de Dados'!U$6:U$196,MATCH($C18,'Entrada de Dados'!$A$6:$A$196,0))</f>
        <v/>
      </c>
    </row>
    <row r="19" ht="15" customHeight="1" s="163">
      <c r="A19" s="258" t="n">
        <v>10</v>
      </c>
      <c r="B19" s="258" t="n"/>
      <c r="C19" s="258" t="inlineStr">
        <is>
          <t>3033</t>
        </is>
      </c>
      <c r="D19" s="259">
        <f>HYPERLINK("#'CEI PREFEITO SÉRGIO FADEL'!A1","CEI PREFEITO SÉRGIO FADEL")</f>
        <v/>
      </c>
      <c r="E19" s="259" t="inlineStr">
        <is>
          <t>MADAME MACHADO</t>
        </is>
      </c>
      <c r="F19" s="260">
        <f>INDEX('Entrada de Dados'!C$6:C$196,MATCH($C19,'Entrada de Dados'!$A$6:$A$196,0))</f>
        <v/>
      </c>
      <c r="G19" s="260">
        <f>INDEX('Entrada de Dados'!D$6:D$196,MATCH($C19,'Entrada de Dados'!$A$6:$A$196,0))</f>
        <v/>
      </c>
      <c r="H19" s="260">
        <f>INDEX('Entrada de Dados'!E$6:E$196,MATCH($C19,'Entrada de Dados'!$A$6:$A$196,0))</f>
        <v/>
      </c>
      <c r="I19" s="260">
        <f>INDEX('Entrada de Dados'!F$6:F$196,MATCH($C19,'Entrada de Dados'!$A$6:$A$196,0))</f>
        <v/>
      </c>
      <c r="J19" s="260">
        <f>INDEX('Entrada de Dados'!G$6:G$196,MATCH($C19,'Entrada de Dados'!$A$6:$A$196,0))</f>
        <v/>
      </c>
      <c r="K19" s="260">
        <f>INDEX('Entrada de Dados'!H$6:H$196,MATCH($C19,'Entrada de Dados'!$A$6:$A$196,0))</f>
        <v/>
      </c>
      <c r="L19" s="260">
        <f>INDEX('Entrada de Dados'!I$6:I$196,MATCH($C19,'Entrada de Dados'!$A$6:$A$196,0))</f>
        <v/>
      </c>
      <c r="M19" s="260">
        <f>INDEX('Entrada de Dados'!J$6:J$196,MATCH($C19,'Entrada de Dados'!$A$6:$A$196,0))</f>
        <v/>
      </c>
      <c r="N19" s="260">
        <f>INDEX('Entrada de Dados'!K$6:K$196,MATCH($C19,'Entrada de Dados'!$A$6:$A$196,0))</f>
        <v/>
      </c>
      <c r="O19" s="260">
        <f>INDEX('Entrada de Dados'!L$6:L$196,MATCH($C19,'Entrada de Dados'!$A$6:$A$196,0))</f>
        <v/>
      </c>
      <c r="P19" s="260">
        <f>INDEX('Entrada de Dados'!M$6:M$196,MATCH($C19,'Entrada de Dados'!$A$6:$A$196,0))</f>
        <v/>
      </c>
      <c r="Q19" s="260">
        <f>INDEX('Entrada de Dados'!N$6:N$196,MATCH($C19,'Entrada de Dados'!$A$6:$A$196,0))</f>
        <v/>
      </c>
      <c r="R19" s="260">
        <f>INDEX('Entrada de Dados'!O$6:O$196,MATCH($C19,'Entrada de Dados'!$A$6:$A$196,0))</f>
        <v/>
      </c>
      <c r="S19" s="260">
        <f>INDEX('Entrada de Dados'!P$6:P$196,MATCH($C19,'Entrada de Dados'!$A$6:$A$196,0))</f>
        <v/>
      </c>
      <c r="T19" s="260">
        <f>INDEX('Entrada de Dados'!Q$6:Q$196,MATCH($C19,'Entrada de Dados'!$A$6:$A$196,0))</f>
        <v/>
      </c>
      <c r="U19" s="260">
        <f>INDEX('Entrada de Dados'!R$6:R$196,MATCH($C19,'Entrada de Dados'!$A$6:$A$196,0))</f>
        <v/>
      </c>
      <c r="V19" s="260">
        <f>INDEX('Entrada de Dados'!S$6:S$196,MATCH($C19,'Entrada de Dados'!$A$6:$A$196,0))</f>
        <v/>
      </c>
      <c r="W19" s="260">
        <f>INDEX('Entrada de Dados'!T$6:T$196,MATCH($C19,'Entrada de Dados'!$A$6:$A$196,0))</f>
        <v/>
      </c>
      <c r="X19" s="260">
        <f>INDEX('Entrada de Dados'!U$6:U$196,MATCH($C19,'Entrada de Dados'!$A$6:$A$196,0))</f>
        <v/>
      </c>
    </row>
    <row r="20" ht="15" customHeight="1" s="163">
      <c r="A20" s="258" t="n">
        <v>11</v>
      </c>
      <c r="B20" s="258" t="n"/>
      <c r="C20" s="258" t="inlineStr">
        <is>
          <t>1043</t>
        </is>
      </c>
      <c r="D20" s="259">
        <f>HYPERLINK("#'E M AMÉLIA ANTUNES RABELLO'!A1","E M AMÉLIA ANTUNES RABELLO")</f>
        <v/>
      </c>
      <c r="E20" s="259" t="inlineStr">
        <is>
          <t>MADAME MACHADO</t>
        </is>
      </c>
      <c r="F20" s="260">
        <f>INDEX('Entrada de Dados'!C$6:C$196,MATCH($C20,'Entrada de Dados'!$A$6:$A$196,0))</f>
        <v/>
      </c>
      <c r="G20" s="260">
        <f>INDEX('Entrada de Dados'!D$6:D$196,MATCH($C20,'Entrada de Dados'!$A$6:$A$196,0))</f>
        <v/>
      </c>
      <c r="H20" s="260">
        <f>INDEX('Entrada de Dados'!E$6:E$196,MATCH($C20,'Entrada de Dados'!$A$6:$A$196,0))</f>
        <v/>
      </c>
      <c r="I20" s="260">
        <f>INDEX('Entrada de Dados'!F$6:F$196,MATCH($C20,'Entrada de Dados'!$A$6:$A$196,0))</f>
        <v/>
      </c>
      <c r="J20" s="260">
        <f>INDEX('Entrada de Dados'!G$6:G$196,MATCH($C20,'Entrada de Dados'!$A$6:$A$196,0))</f>
        <v/>
      </c>
      <c r="K20" s="260">
        <f>INDEX('Entrada de Dados'!H$6:H$196,MATCH($C20,'Entrada de Dados'!$A$6:$A$196,0))</f>
        <v/>
      </c>
      <c r="L20" s="260">
        <f>INDEX('Entrada de Dados'!I$6:I$196,MATCH($C20,'Entrada de Dados'!$A$6:$A$196,0))</f>
        <v/>
      </c>
      <c r="M20" s="260">
        <f>INDEX('Entrada de Dados'!J$6:J$196,MATCH($C20,'Entrada de Dados'!$A$6:$A$196,0))</f>
        <v/>
      </c>
      <c r="N20" s="260">
        <f>INDEX('Entrada de Dados'!K$6:K$196,MATCH($C20,'Entrada de Dados'!$A$6:$A$196,0))</f>
        <v/>
      </c>
      <c r="O20" s="260">
        <f>INDEX('Entrada de Dados'!L$6:L$196,MATCH($C20,'Entrada de Dados'!$A$6:$A$196,0))</f>
        <v/>
      </c>
      <c r="P20" s="260">
        <f>INDEX('Entrada de Dados'!M$6:M$196,MATCH($C20,'Entrada de Dados'!$A$6:$A$196,0))</f>
        <v/>
      </c>
      <c r="Q20" s="260">
        <f>INDEX('Entrada de Dados'!N$6:N$196,MATCH($C20,'Entrada de Dados'!$A$6:$A$196,0))</f>
        <v/>
      </c>
      <c r="R20" s="260">
        <f>INDEX('Entrada de Dados'!O$6:O$196,MATCH($C20,'Entrada de Dados'!$A$6:$A$196,0))</f>
        <v/>
      </c>
      <c r="S20" s="260">
        <f>INDEX('Entrada de Dados'!P$6:P$196,MATCH($C20,'Entrada de Dados'!$A$6:$A$196,0))</f>
        <v/>
      </c>
      <c r="T20" s="260">
        <f>INDEX('Entrada de Dados'!Q$6:Q$196,MATCH($C20,'Entrada de Dados'!$A$6:$A$196,0))</f>
        <v/>
      </c>
      <c r="U20" s="260">
        <f>INDEX('Entrada de Dados'!R$6:R$196,MATCH($C20,'Entrada de Dados'!$A$6:$A$196,0))</f>
        <v/>
      </c>
      <c r="V20" s="260">
        <f>INDEX('Entrada de Dados'!S$6:S$196,MATCH($C20,'Entrada de Dados'!$A$6:$A$196,0))</f>
        <v/>
      </c>
      <c r="W20" s="260">
        <f>INDEX('Entrada de Dados'!T$6:T$196,MATCH($C20,'Entrada de Dados'!$A$6:$A$196,0))</f>
        <v/>
      </c>
      <c r="X20" s="260">
        <f>INDEX('Entrada de Dados'!U$6:U$196,MATCH($C20,'Entrada de Dados'!$A$6:$A$196,0))</f>
        <v/>
      </c>
    </row>
    <row r="21" ht="21.75" customHeight="1" s="163">
      <c r="A21" s="265" t="inlineStr">
        <is>
          <t>Peso previsto:</t>
        </is>
      </c>
      <c r="C21" s="266">
        <f>SUM(F9:F20)+SUM(G9:G20)+SUM(H9:H20)+SUM(I9:I20)+SUM(J9:J20)+SUM(K9:K20)+SUM(L9:L20)+SUM(M9:M20)+SUM(N9:N20)+SUM(O9:O20)+SUM(P9:P20)+SUM(Q9:Q20)+SUM(R9:R20)+SUM(S9:S20)+SUM(T9:T20)+SUM(U9:U20)+SUM(W9:W20)+SUM(X9:X20)</f>
        <v/>
      </c>
      <c r="D21" s="265" t="inlineStr">
        <is>
          <t>Peso embarcado (kg):</t>
        </is>
      </c>
      <c r="F21" s="267" t="n"/>
      <c r="G21" s="265" t="inlineStr">
        <is>
          <t>Veículo:</t>
        </is>
      </c>
      <c r="I21" s="267" t="n"/>
      <c r="J21" s="268" t="n"/>
      <c r="K21" s="265" t="inlineStr">
        <is>
          <t>Motorista:</t>
        </is>
      </c>
      <c r="M21" s="267" t="n"/>
      <c r="N21" s="269" t="n"/>
      <c r="O21" s="269" t="n"/>
      <c r="P21" s="269" t="n"/>
      <c r="Q21" s="269" t="n"/>
      <c r="R21" s="269" t="n"/>
      <c r="S21" s="269" t="n"/>
      <c r="T21" s="269" t="n"/>
      <c r="U21" s="269" t="n"/>
      <c r="V21" s="269" t="n"/>
      <c r="W21" s="269" t="n"/>
      <c r="X21" s="268" t="n"/>
    </row>
    <row r="23" ht="19.5" customHeight="1" s="163">
      <c r="A23" s="186" t="inlineStr">
        <is>
          <t>ROTA S2 — ARARAS - VALE DAS VIDEIRAS · KOMBI · 7 escolas · 7 paradas físicas</t>
        </is>
      </c>
    </row>
    <row r="24" ht="25.5" customHeight="1" s="163">
      <c r="A24" s="256" t="inlineStr">
        <is>
          <t>Sequência-base: Galpão Itaipava &gt; Araras &gt; Vale das Videiras &gt; Galpão   Atenção: Trechos sinuosos e serranos. Moto somente para último trecho confirmado e carga muito pequena.</t>
        </is>
      </c>
    </row>
    <row r="25" ht="30" customHeight="1" s="163">
      <c r="A25" s="257" t="inlineStr">
        <is>
          <t>PAR.</t>
        </is>
      </c>
      <c r="B25" s="257" t="inlineStr">
        <is>
          <t>SUB</t>
        </is>
      </c>
      <c r="C25" s="257" t="inlineStr">
        <is>
          <t>CÓDIGO</t>
        </is>
      </c>
      <c r="D25" s="257" t="inlineStr">
        <is>
          <t>ESCOLA</t>
        </is>
      </c>
      <c r="E25" s="257" t="inlineStr">
        <is>
          <t>BAIRRO/CORREDOR</t>
        </is>
      </c>
      <c r="F25" s="257" t="inlineStr">
        <is>
          <t>Abacate</t>
        </is>
      </c>
      <c r="G25" s="257" t="inlineStr">
        <is>
          <t>Abobrinha</t>
        </is>
      </c>
      <c r="H25" s="257" t="inlineStr">
        <is>
          <t>Agrião</t>
        </is>
      </c>
      <c r="I25" s="257" t="inlineStr">
        <is>
          <t>Alface lisa</t>
        </is>
      </c>
      <c r="J25" s="257" t="inlineStr">
        <is>
          <t>Banana prata</t>
        </is>
      </c>
      <c r="K25" s="257" t="inlineStr">
        <is>
          <t>Batata inglesa</t>
        </is>
      </c>
      <c r="L25" s="257" t="inlineStr">
        <is>
          <t>Beterraba</t>
        </is>
      </c>
      <c r="M25" s="257" t="inlineStr">
        <is>
          <t>Brócolis</t>
        </is>
      </c>
      <c r="N25" s="257" t="inlineStr">
        <is>
          <t>Cenoura</t>
        </is>
      </c>
      <c r="O25" s="257" t="inlineStr">
        <is>
          <t>Cheiro verde</t>
        </is>
      </c>
      <c r="P25" s="257" t="inlineStr">
        <is>
          <t>Chuchu</t>
        </is>
      </c>
      <c r="Q25" s="257" t="inlineStr">
        <is>
          <t>Couve manteiga</t>
        </is>
      </c>
      <c r="R25" s="257" t="inlineStr">
        <is>
          <t>Couve-flor</t>
        </is>
      </c>
      <c r="S25" s="257" t="inlineStr">
        <is>
          <t>Espinafre</t>
        </is>
      </c>
      <c r="T25" s="257" t="inlineStr">
        <is>
          <t>Maçã gala</t>
        </is>
      </c>
      <c r="U25" s="257" t="inlineStr">
        <is>
          <t>Mel</t>
        </is>
      </c>
      <c r="V25" s="257" t="inlineStr">
        <is>
          <t>Ovos (dz)</t>
        </is>
      </c>
      <c r="W25" s="257" t="inlineStr">
        <is>
          <t>Repolho</t>
        </is>
      </c>
      <c r="X25" s="257" t="inlineStr">
        <is>
          <t>Tangerina ponkan</t>
        </is>
      </c>
    </row>
    <row r="26" ht="15" customHeight="1" s="163">
      <c r="A26" s="258" t="n">
        <v>1</v>
      </c>
      <c r="B26" s="258" t="n"/>
      <c r="C26" s="258" t="inlineStr">
        <is>
          <t>3025</t>
        </is>
      </c>
      <c r="D26" s="259">
        <f>HYPERLINK("#'CEI VISTA ALEGRE'!A1","CEI VISTA ALEGRE")</f>
        <v/>
      </c>
      <c r="E26" s="259" t="inlineStr">
        <is>
          <t>ARARAS</t>
        </is>
      </c>
      <c r="F26" s="260">
        <f>INDEX('Entrada de Dados'!C$6:C$196,MATCH($C26,'Entrada de Dados'!$A$6:$A$196,0))</f>
        <v/>
      </c>
      <c r="G26" s="260">
        <f>INDEX('Entrada de Dados'!D$6:D$196,MATCH($C26,'Entrada de Dados'!$A$6:$A$196,0))</f>
        <v/>
      </c>
      <c r="H26" s="260">
        <f>INDEX('Entrada de Dados'!E$6:E$196,MATCH($C26,'Entrada de Dados'!$A$6:$A$196,0))</f>
        <v/>
      </c>
      <c r="I26" s="260">
        <f>INDEX('Entrada de Dados'!F$6:F$196,MATCH($C26,'Entrada de Dados'!$A$6:$A$196,0))</f>
        <v/>
      </c>
      <c r="J26" s="260">
        <f>INDEX('Entrada de Dados'!G$6:G$196,MATCH($C26,'Entrada de Dados'!$A$6:$A$196,0))</f>
        <v/>
      </c>
      <c r="K26" s="260">
        <f>INDEX('Entrada de Dados'!H$6:H$196,MATCH($C26,'Entrada de Dados'!$A$6:$A$196,0))</f>
        <v/>
      </c>
      <c r="L26" s="260">
        <f>INDEX('Entrada de Dados'!I$6:I$196,MATCH($C26,'Entrada de Dados'!$A$6:$A$196,0))</f>
        <v/>
      </c>
      <c r="M26" s="260">
        <f>INDEX('Entrada de Dados'!J$6:J$196,MATCH($C26,'Entrada de Dados'!$A$6:$A$196,0))</f>
        <v/>
      </c>
      <c r="N26" s="260">
        <f>INDEX('Entrada de Dados'!K$6:K$196,MATCH($C26,'Entrada de Dados'!$A$6:$A$196,0))</f>
        <v/>
      </c>
      <c r="O26" s="260">
        <f>INDEX('Entrada de Dados'!L$6:L$196,MATCH($C26,'Entrada de Dados'!$A$6:$A$196,0))</f>
        <v/>
      </c>
      <c r="P26" s="260">
        <f>INDEX('Entrada de Dados'!M$6:M$196,MATCH($C26,'Entrada de Dados'!$A$6:$A$196,0))</f>
        <v/>
      </c>
      <c r="Q26" s="260">
        <f>INDEX('Entrada de Dados'!N$6:N$196,MATCH($C26,'Entrada de Dados'!$A$6:$A$196,0))</f>
        <v/>
      </c>
      <c r="R26" s="260">
        <f>INDEX('Entrada de Dados'!O$6:O$196,MATCH($C26,'Entrada de Dados'!$A$6:$A$196,0))</f>
        <v/>
      </c>
      <c r="S26" s="260">
        <f>INDEX('Entrada de Dados'!P$6:P$196,MATCH($C26,'Entrada de Dados'!$A$6:$A$196,0))</f>
        <v/>
      </c>
      <c r="T26" s="260">
        <f>INDEX('Entrada de Dados'!Q$6:Q$196,MATCH($C26,'Entrada de Dados'!$A$6:$A$196,0))</f>
        <v/>
      </c>
      <c r="U26" s="260">
        <f>INDEX('Entrada de Dados'!R$6:R$196,MATCH($C26,'Entrada de Dados'!$A$6:$A$196,0))</f>
        <v/>
      </c>
      <c r="V26" s="260">
        <f>INDEX('Entrada de Dados'!S$6:S$196,MATCH($C26,'Entrada de Dados'!$A$6:$A$196,0))</f>
        <v/>
      </c>
      <c r="W26" s="260">
        <f>INDEX('Entrada de Dados'!T$6:T$196,MATCH($C26,'Entrada de Dados'!$A$6:$A$196,0))</f>
        <v/>
      </c>
      <c r="X26" s="260">
        <f>INDEX('Entrada de Dados'!U$6:U$196,MATCH($C26,'Entrada de Dados'!$A$6:$A$196,0))</f>
        <v/>
      </c>
    </row>
    <row r="27" ht="15" customHeight="1" s="163">
      <c r="A27" s="258" t="n">
        <v>2</v>
      </c>
      <c r="B27" s="258" t="n"/>
      <c r="C27" s="258" t="inlineStr">
        <is>
          <t>3077</t>
        </is>
      </c>
      <c r="D27" s="259">
        <f>HYPERLINK("#'CEI VIDEIRINHA'!A1","CEI VIDEIRINHA")</f>
        <v/>
      </c>
      <c r="E27" s="259" t="inlineStr">
        <is>
          <t>ARARAS</t>
        </is>
      </c>
      <c r="F27" s="260">
        <f>INDEX('Entrada de Dados'!C$6:C$196,MATCH($C27,'Entrada de Dados'!$A$6:$A$196,0))</f>
        <v/>
      </c>
      <c r="G27" s="260">
        <f>INDEX('Entrada de Dados'!D$6:D$196,MATCH($C27,'Entrada de Dados'!$A$6:$A$196,0))</f>
        <v/>
      </c>
      <c r="H27" s="260">
        <f>INDEX('Entrada de Dados'!E$6:E$196,MATCH($C27,'Entrada de Dados'!$A$6:$A$196,0))</f>
        <v/>
      </c>
      <c r="I27" s="260">
        <f>INDEX('Entrada de Dados'!F$6:F$196,MATCH($C27,'Entrada de Dados'!$A$6:$A$196,0))</f>
        <v/>
      </c>
      <c r="J27" s="260">
        <f>INDEX('Entrada de Dados'!G$6:G$196,MATCH($C27,'Entrada de Dados'!$A$6:$A$196,0))</f>
        <v/>
      </c>
      <c r="K27" s="260">
        <f>INDEX('Entrada de Dados'!H$6:H$196,MATCH($C27,'Entrada de Dados'!$A$6:$A$196,0))</f>
        <v/>
      </c>
      <c r="L27" s="260">
        <f>INDEX('Entrada de Dados'!I$6:I$196,MATCH($C27,'Entrada de Dados'!$A$6:$A$196,0))</f>
        <v/>
      </c>
      <c r="M27" s="260">
        <f>INDEX('Entrada de Dados'!J$6:J$196,MATCH($C27,'Entrada de Dados'!$A$6:$A$196,0))</f>
        <v/>
      </c>
      <c r="N27" s="260">
        <f>INDEX('Entrada de Dados'!K$6:K$196,MATCH($C27,'Entrada de Dados'!$A$6:$A$196,0))</f>
        <v/>
      </c>
      <c r="O27" s="260">
        <f>INDEX('Entrada de Dados'!L$6:L$196,MATCH($C27,'Entrada de Dados'!$A$6:$A$196,0))</f>
        <v/>
      </c>
      <c r="P27" s="260">
        <f>INDEX('Entrada de Dados'!M$6:M$196,MATCH($C27,'Entrada de Dados'!$A$6:$A$196,0))</f>
        <v/>
      </c>
      <c r="Q27" s="260">
        <f>INDEX('Entrada de Dados'!N$6:N$196,MATCH($C27,'Entrada de Dados'!$A$6:$A$196,0))</f>
        <v/>
      </c>
      <c r="R27" s="260">
        <f>INDEX('Entrada de Dados'!O$6:O$196,MATCH($C27,'Entrada de Dados'!$A$6:$A$196,0))</f>
        <v/>
      </c>
      <c r="S27" s="260">
        <f>INDEX('Entrada de Dados'!P$6:P$196,MATCH($C27,'Entrada de Dados'!$A$6:$A$196,0))</f>
        <v/>
      </c>
      <c r="T27" s="260">
        <f>INDEX('Entrada de Dados'!Q$6:Q$196,MATCH($C27,'Entrada de Dados'!$A$6:$A$196,0))</f>
        <v/>
      </c>
      <c r="U27" s="260">
        <f>INDEX('Entrada de Dados'!R$6:R$196,MATCH($C27,'Entrada de Dados'!$A$6:$A$196,0))</f>
        <v/>
      </c>
      <c r="V27" s="260">
        <f>INDEX('Entrada de Dados'!S$6:S$196,MATCH($C27,'Entrada de Dados'!$A$6:$A$196,0))</f>
        <v/>
      </c>
      <c r="W27" s="260">
        <f>INDEX('Entrada de Dados'!T$6:T$196,MATCH($C27,'Entrada de Dados'!$A$6:$A$196,0))</f>
        <v/>
      </c>
      <c r="X27" s="260">
        <f>INDEX('Entrada de Dados'!U$6:U$196,MATCH($C27,'Entrada de Dados'!$A$6:$A$196,0))</f>
        <v/>
      </c>
    </row>
    <row r="28" ht="15" customHeight="1" s="163">
      <c r="A28" s="258" t="n">
        <v>3</v>
      </c>
      <c r="B28" s="258" t="n"/>
      <c r="C28" s="258" t="inlineStr">
        <is>
          <t>3056</t>
        </is>
      </c>
      <c r="D28" s="259">
        <f>HYPERLINK("#'CEI DENISE BESSA DE OLIVA MAYA'!A1","CEI DENISE BESSA DE OLIVA MAYA")</f>
        <v/>
      </c>
      <c r="E28" s="259" t="inlineStr">
        <is>
          <t>ARARAS</t>
        </is>
      </c>
      <c r="F28" s="260">
        <f>INDEX('Entrada de Dados'!C$6:C$196,MATCH($C28,'Entrada de Dados'!$A$6:$A$196,0))</f>
        <v/>
      </c>
      <c r="G28" s="260">
        <f>INDEX('Entrada de Dados'!D$6:D$196,MATCH($C28,'Entrada de Dados'!$A$6:$A$196,0))</f>
        <v/>
      </c>
      <c r="H28" s="260">
        <f>INDEX('Entrada de Dados'!E$6:E$196,MATCH($C28,'Entrada de Dados'!$A$6:$A$196,0))</f>
        <v/>
      </c>
      <c r="I28" s="260">
        <f>INDEX('Entrada de Dados'!F$6:F$196,MATCH($C28,'Entrada de Dados'!$A$6:$A$196,0))</f>
        <v/>
      </c>
      <c r="J28" s="260">
        <f>INDEX('Entrada de Dados'!G$6:G$196,MATCH($C28,'Entrada de Dados'!$A$6:$A$196,0))</f>
        <v/>
      </c>
      <c r="K28" s="260">
        <f>INDEX('Entrada de Dados'!H$6:H$196,MATCH($C28,'Entrada de Dados'!$A$6:$A$196,0))</f>
        <v/>
      </c>
      <c r="L28" s="260">
        <f>INDEX('Entrada de Dados'!I$6:I$196,MATCH($C28,'Entrada de Dados'!$A$6:$A$196,0))</f>
        <v/>
      </c>
      <c r="M28" s="260">
        <f>INDEX('Entrada de Dados'!J$6:J$196,MATCH($C28,'Entrada de Dados'!$A$6:$A$196,0))</f>
        <v/>
      </c>
      <c r="N28" s="260">
        <f>INDEX('Entrada de Dados'!K$6:K$196,MATCH($C28,'Entrada de Dados'!$A$6:$A$196,0))</f>
        <v/>
      </c>
      <c r="O28" s="260">
        <f>INDEX('Entrada de Dados'!L$6:L$196,MATCH($C28,'Entrada de Dados'!$A$6:$A$196,0))</f>
        <v/>
      </c>
      <c r="P28" s="260">
        <f>INDEX('Entrada de Dados'!M$6:M$196,MATCH($C28,'Entrada de Dados'!$A$6:$A$196,0))</f>
        <v/>
      </c>
      <c r="Q28" s="260">
        <f>INDEX('Entrada de Dados'!N$6:N$196,MATCH($C28,'Entrada de Dados'!$A$6:$A$196,0))</f>
        <v/>
      </c>
      <c r="R28" s="260">
        <f>INDEX('Entrada de Dados'!O$6:O$196,MATCH($C28,'Entrada de Dados'!$A$6:$A$196,0))</f>
        <v/>
      </c>
      <c r="S28" s="260">
        <f>INDEX('Entrada de Dados'!P$6:P$196,MATCH($C28,'Entrada de Dados'!$A$6:$A$196,0))</f>
        <v/>
      </c>
      <c r="T28" s="260">
        <f>INDEX('Entrada de Dados'!Q$6:Q$196,MATCH($C28,'Entrada de Dados'!$A$6:$A$196,0))</f>
        <v/>
      </c>
      <c r="U28" s="260">
        <f>INDEX('Entrada de Dados'!R$6:R$196,MATCH($C28,'Entrada de Dados'!$A$6:$A$196,0))</f>
        <v/>
      </c>
      <c r="V28" s="260">
        <f>INDEX('Entrada de Dados'!S$6:S$196,MATCH($C28,'Entrada de Dados'!$A$6:$A$196,0))</f>
        <v/>
      </c>
      <c r="W28" s="260">
        <f>INDEX('Entrada de Dados'!T$6:T$196,MATCH($C28,'Entrada de Dados'!$A$6:$A$196,0))</f>
        <v/>
      </c>
      <c r="X28" s="260">
        <f>INDEX('Entrada de Dados'!U$6:U$196,MATCH($C28,'Entrada de Dados'!$A$6:$A$196,0))</f>
        <v/>
      </c>
    </row>
    <row r="29" ht="15" customHeight="1" s="163">
      <c r="A29" s="258" t="n">
        <v>4</v>
      </c>
      <c r="B29" s="258" t="n"/>
      <c r="C29" s="258" t="inlineStr">
        <is>
          <t>2033</t>
        </is>
      </c>
      <c r="D29" s="259">
        <f>HYPERLINK("#'COLÉGIO ANGLICANO DE ARARAS'!A1","COLÉGIO ANGLICANO DE ARARAS")</f>
        <v/>
      </c>
      <c r="E29" s="259" t="inlineStr">
        <is>
          <t>ARARAS</t>
        </is>
      </c>
      <c r="F29" s="260">
        <f>INDEX('Entrada de Dados'!C$6:C$196,MATCH($C29,'Entrada de Dados'!$A$6:$A$196,0))</f>
        <v/>
      </c>
      <c r="G29" s="260">
        <f>INDEX('Entrada de Dados'!D$6:D$196,MATCH($C29,'Entrada de Dados'!$A$6:$A$196,0))</f>
        <v/>
      </c>
      <c r="H29" s="260">
        <f>INDEX('Entrada de Dados'!E$6:E$196,MATCH($C29,'Entrada de Dados'!$A$6:$A$196,0))</f>
        <v/>
      </c>
      <c r="I29" s="260">
        <f>INDEX('Entrada de Dados'!F$6:F$196,MATCH($C29,'Entrada de Dados'!$A$6:$A$196,0))</f>
        <v/>
      </c>
      <c r="J29" s="260">
        <f>INDEX('Entrada de Dados'!G$6:G$196,MATCH($C29,'Entrada de Dados'!$A$6:$A$196,0))</f>
        <v/>
      </c>
      <c r="K29" s="260">
        <f>INDEX('Entrada de Dados'!H$6:H$196,MATCH($C29,'Entrada de Dados'!$A$6:$A$196,0))</f>
        <v/>
      </c>
      <c r="L29" s="260">
        <f>INDEX('Entrada de Dados'!I$6:I$196,MATCH($C29,'Entrada de Dados'!$A$6:$A$196,0))</f>
        <v/>
      </c>
      <c r="M29" s="260">
        <f>INDEX('Entrada de Dados'!J$6:J$196,MATCH($C29,'Entrada de Dados'!$A$6:$A$196,0))</f>
        <v/>
      </c>
      <c r="N29" s="260">
        <f>INDEX('Entrada de Dados'!K$6:K$196,MATCH($C29,'Entrada de Dados'!$A$6:$A$196,0))</f>
        <v/>
      </c>
      <c r="O29" s="260">
        <f>INDEX('Entrada de Dados'!L$6:L$196,MATCH($C29,'Entrada de Dados'!$A$6:$A$196,0))</f>
        <v/>
      </c>
      <c r="P29" s="260">
        <f>INDEX('Entrada de Dados'!M$6:M$196,MATCH($C29,'Entrada de Dados'!$A$6:$A$196,0))</f>
        <v/>
      </c>
      <c r="Q29" s="260">
        <f>INDEX('Entrada de Dados'!N$6:N$196,MATCH($C29,'Entrada de Dados'!$A$6:$A$196,0))</f>
        <v/>
      </c>
      <c r="R29" s="260">
        <f>INDEX('Entrada de Dados'!O$6:O$196,MATCH($C29,'Entrada de Dados'!$A$6:$A$196,0))</f>
        <v/>
      </c>
      <c r="S29" s="260">
        <f>INDEX('Entrada de Dados'!P$6:P$196,MATCH($C29,'Entrada de Dados'!$A$6:$A$196,0))</f>
        <v/>
      </c>
      <c r="T29" s="260">
        <f>INDEX('Entrada de Dados'!Q$6:Q$196,MATCH($C29,'Entrada de Dados'!$A$6:$A$196,0))</f>
        <v/>
      </c>
      <c r="U29" s="260">
        <f>INDEX('Entrada de Dados'!R$6:R$196,MATCH($C29,'Entrada de Dados'!$A$6:$A$196,0))</f>
        <v/>
      </c>
      <c r="V29" s="260">
        <f>INDEX('Entrada de Dados'!S$6:S$196,MATCH($C29,'Entrada de Dados'!$A$6:$A$196,0))</f>
        <v/>
      </c>
      <c r="W29" s="260">
        <f>INDEX('Entrada de Dados'!T$6:T$196,MATCH($C29,'Entrada de Dados'!$A$6:$A$196,0))</f>
        <v/>
      </c>
      <c r="X29" s="260">
        <f>INDEX('Entrada de Dados'!U$6:U$196,MATCH($C29,'Entrada de Dados'!$A$6:$A$196,0))</f>
        <v/>
      </c>
    </row>
    <row r="30" ht="15" customHeight="1" s="163">
      <c r="A30" s="258" t="n">
        <v>5</v>
      </c>
      <c r="B30" s="258" t="n"/>
      <c r="C30" s="258" t="inlineStr">
        <is>
          <t>1040</t>
        </is>
      </c>
      <c r="D30" s="259">
        <f>HYPERLINK("#'ESCOLA MUNICIPAL PROFESSOR PAUL'!A1","ESCOLA MUNICIPAL PROFESSOR PAULO MONTE")</f>
        <v/>
      </c>
      <c r="E30" s="259" t="inlineStr">
        <is>
          <t>ARARAS</t>
        </is>
      </c>
      <c r="F30" s="260">
        <f>INDEX('Entrada de Dados'!C$6:C$196,MATCH($C30,'Entrada de Dados'!$A$6:$A$196,0))</f>
        <v/>
      </c>
      <c r="G30" s="260">
        <f>INDEX('Entrada de Dados'!D$6:D$196,MATCH($C30,'Entrada de Dados'!$A$6:$A$196,0))</f>
        <v/>
      </c>
      <c r="H30" s="260">
        <f>INDEX('Entrada de Dados'!E$6:E$196,MATCH($C30,'Entrada de Dados'!$A$6:$A$196,0))</f>
        <v/>
      </c>
      <c r="I30" s="260">
        <f>INDEX('Entrada de Dados'!F$6:F$196,MATCH($C30,'Entrada de Dados'!$A$6:$A$196,0))</f>
        <v/>
      </c>
      <c r="J30" s="260">
        <f>INDEX('Entrada de Dados'!G$6:G$196,MATCH($C30,'Entrada de Dados'!$A$6:$A$196,0))</f>
        <v/>
      </c>
      <c r="K30" s="260">
        <f>INDEX('Entrada de Dados'!H$6:H$196,MATCH($C30,'Entrada de Dados'!$A$6:$A$196,0))</f>
        <v/>
      </c>
      <c r="L30" s="260">
        <f>INDEX('Entrada de Dados'!I$6:I$196,MATCH($C30,'Entrada de Dados'!$A$6:$A$196,0))</f>
        <v/>
      </c>
      <c r="M30" s="260">
        <f>INDEX('Entrada de Dados'!J$6:J$196,MATCH($C30,'Entrada de Dados'!$A$6:$A$196,0))</f>
        <v/>
      </c>
      <c r="N30" s="260">
        <f>INDEX('Entrada de Dados'!K$6:K$196,MATCH($C30,'Entrada de Dados'!$A$6:$A$196,0))</f>
        <v/>
      </c>
      <c r="O30" s="260">
        <f>INDEX('Entrada de Dados'!L$6:L$196,MATCH($C30,'Entrada de Dados'!$A$6:$A$196,0))</f>
        <v/>
      </c>
      <c r="P30" s="260">
        <f>INDEX('Entrada de Dados'!M$6:M$196,MATCH($C30,'Entrada de Dados'!$A$6:$A$196,0))</f>
        <v/>
      </c>
      <c r="Q30" s="260">
        <f>INDEX('Entrada de Dados'!N$6:N$196,MATCH($C30,'Entrada de Dados'!$A$6:$A$196,0))</f>
        <v/>
      </c>
      <c r="R30" s="260">
        <f>INDEX('Entrada de Dados'!O$6:O$196,MATCH($C30,'Entrada de Dados'!$A$6:$A$196,0))</f>
        <v/>
      </c>
      <c r="S30" s="260">
        <f>INDEX('Entrada de Dados'!P$6:P$196,MATCH($C30,'Entrada de Dados'!$A$6:$A$196,0))</f>
        <v/>
      </c>
      <c r="T30" s="260">
        <f>INDEX('Entrada de Dados'!Q$6:Q$196,MATCH($C30,'Entrada de Dados'!$A$6:$A$196,0))</f>
        <v/>
      </c>
      <c r="U30" s="260">
        <f>INDEX('Entrada de Dados'!R$6:R$196,MATCH($C30,'Entrada de Dados'!$A$6:$A$196,0))</f>
        <v/>
      </c>
      <c r="V30" s="260">
        <f>INDEX('Entrada de Dados'!S$6:S$196,MATCH($C30,'Entrada de Dados'!$A$6:$A$196,0))</f>
        <v/>
      </c>
      <c r="W30" s="260">
        <f>INDEX('Entrada de Dados'!T$6:T$196,MATCH($C30,'Entrada de Dados'!$A$6:$A$196,0))</f>
        <v/>
      </c>
      <c r="X30" s="260">
        <f>INDEX('Entrada de Dados'!U$6:U$196,MATCH($C30,'Entrada de Dados'!$A$6:$A$196,0))</f>
        <v/>
      </c>
    </row>
    <row r="31" ht="15" customHeight="1" s="163">
      <c r="A31" s="258" t="n">
        <v>6</v>
      </c>
      <c r="B31" s="258" t="n"/>
      <c r="C31" s="258" t="inlineStr">
        <is>
          <t>2039</t>
        </is>
      </c>
      <c r="D31" s="259">
        <f>HYPERLINK("#'ESCOLA PAROQUIAL SANTA BERNADET'!A1","ESCOLA PAROQUIAL SANTA BERNADETE")</f>
        <v/>
      </c>
      <c r="E31" s="259" t="inlineStr">
        <is>
          <t>ARARAS</t>
        </is>
      </c>
      <c r="F31" s="260">
        <f>INDEX('Entrada de Dados'!C$6:C$196,MATCH($C31,'Entrada de Dados'!$A$6:$A$196,0))</f>
        <v/>
      </c>
      <c r="G31" s="260">
        <f>INDEX('Entrada de Dados'!D$6:D$196,MATCH($C31,'Entrada de Dados'!$A$6:$A$196,0))</f>
        <v/>
      </c>
      <c r="H31" s="260">
        <f>INDEX('Entrada de Dados'!E$6:E$196,MATCH($C31,'Entrada de Dados'!$A$6:$A$196,0))</f>
        <v/>
      </c>
      <c r="I31" s="260">
        <f>INDEX('Entrada de Dados'!F$6:F$196,MATCH($C31,'Entrada de Dados'!$A$6:$A$196,0))</f>
        <v/>
      </c>
      <c r="J31" s="260">
        <f>INDEX('Entrada de Dados'!G$6:G$196,MATCH($C31,'Entrada de Dados'!$A$6:$A$196,0))</f>
        <v/>
      </c>
      <c r="K31" s="260">
        <f>INDEX('Entrada de Dados'!H$6:H$196,MATCH($C31,'Entrada de Dados'!$A$6:$A$196,0))</f>
        <v/>
      </c>
      <c r="L31" s="260">
        <f>INDEX('Entrada de Dados'!I$6:I$196,MATCH($C31,'Entrada de Dados'!$A$6:$A$196,0))</f>
        <v/>
      </c>
      <c r="M31" s="260">
        <f>INDEX('Entrada de Dados'!J$6:J$196,MATCH($C31,'Entrada de Dados'!$A$6:$A$196,0))</f>
        <v/>
      </c>
      <c r="N31" s="260">
        <f>INDEX('Entrada de Dados'!K$6:K$196,MATCH($C31,'Entrada de Dados'!$A$6:$A$196,0))</f>
        <v/>
      </c>
      <c r="O31" s="260">
        <f>INDEX('Entrada de Dados'!L$6:L$196,MATCH($C31,'Entrada de Dados'!$A$6:$A$196,0))</f>
        <v/>
      </c>
      <c r="P31" s="260">
        <f>INDEX('Entrada de Dados'!M$6:M$196,MATCH($C31,'Entrada de Dados'!$A$6:$A$196,0))</f>
        <v/>
      </c>
      <c r="Q31" s="260">
        <f>INDEX('Entrada de Dados'!N$6:N$196,MATCH($C31,'Entrada de Dados'!$A$6:$A$196,0))</f>
        <v/>
      </c>
      <c r="R31" s="260">
        <f>INDEX('Entrada de Dados'!O$6:O$196,MATCH($C31,'Entrada de Dados'!$A$6:$A$196,0))</f>
        <v/>
      </c>
      <c r="S31" s="260">
        <f>INDEX('Entrada de Dados'!P$6:P$196,MATCH($C31,'Entrada de Dados'!$A$6:$A$196,0))</f>
        <v/>
      </c>
      <c r="T31" s="260">
        <f>INDEX('Entrada de Dados'!Q$6:Q$196,MATCH($C31,'Entrada de Dados'!$A$6:$A$196,0))</f>
        <v/>
      </c>
      <c r="U31" s="260">
        <f>INDEX('Entrada de Dados'!R$6:R$196,MATCH($C31,'Entrada de Dados'!$A$6:$A$196,0))</f>
        <v/>
      </c>
      <c r="V31" s="260">
        <f>INDEX('Entrada de Dados'!S$6:S$196,MATCH($C31,'Entrada de Dados'!$A$6:$A$196,0))</f>
        <v/>
      </c>
      <c r="W31" s="260">
        <f>INDEX('Entrada de Dados'!T$6:T$196,MATCH($C31,'Entrada de Dados'!$A$6:$A$196,0))</f>
        <v/>
      </c>
      <c r="X31" s="260">
        <f>INDEX('Entrada de Dados'!U$6:U$196,MATCH($C31,'Entrada de Dados'!$A$6:$A$196,0))</f>
        <v/>
      </c>
    </row>
    <row r="32" ht="15" customHeight="1" s="163">
      <c r="A32" s="258" t="n">
        <v>7</v>
      </c>
      <c r="B32" s="258" t="n"/>
      <c r="C32" s="258" t="inlineStr">
        <is>
          <t>1097</t>
        </is>
      </c>
      <c r="D32" s="259">
        <f>HYPERLINK("#'E M AMÉRICO FERNANDES RIBEIRO'!A1","E M AMÉRICO FERNANDES RIBEIRO")</f>
        <v/>
      </c>
      <c r="E32" s="259" t="inlineStr">
        <is>
          <t>VALE DAS VIDEIRAS</t>
        </is>
      </c>
      <c r="F32" s="260">
        <f>INDEX('Entrada de Dados'!C$6:C$196,MATCH($C32,'Entrada de Dados'!$A$6:$A$196,0))</f>
        <v/>
      </c>
      <c r="G32" s="260">
        <f>INDEX('Entrada de Dados'!D$6:D$196,MATCH($C32,'Entrada de Dados'!$A$6:$A$196,0))</f>
        <v/>
      </c>
      <c r="H32" s="260">
        <f>INDEX('Entrada de Dados'!E$6:E$196,MATCH($C32,'Entrada de Dados'!$A$6:$A$196,0))</f>
        <v/>
      </c>
      <c r="I32" s="260">
        <f>INDEX('Entrada de Dados'!F$6:F$196,MATCH($C32,'Entrada de Dados'!$A$6:$A$196,0))</f>
        <v/>
      </c>
      <c r="J32" s="260">
        <f>INDEX('Entrada de Dados'!G$6:G$196,MATCH($C32,'Entrada de Dados'!$A$6:$A$196,0))</f>
        <v/>
      </c>
      <c r="K32" s="260">
        <f>INDEX('Entrada de Dados'!H$6:H$196,MATCH($C32,'Entrada de Dados'!$A$6:$A$196,0))</f>
        <v/>
      </c>
      <c r="L32" s="260">
        <f>INDEX('Entrada de Dados'!I$6:I$196,MATCH($C32,'Entrada de Dados'!$A$6:$A$196,0))</f>
        <v/>
      </c>
      <c r="M32" s="260">
        <f>INDEX('Entrada de Dados'!J$6:J$196,MATCH($C32,'Entrada de Dados'!$A$6:$A$196,0))</f>
        <v/>
      </c>
      <c r="N32" s="260">
        <f>INDEX('Entrada de Dados'!K$6:K$196,MATCH($C32,'Entrada de Dados'!$A$6:$A$196,0))</f>
        <v/>
      </c>
      <c r="O32" s="260">
        <f>INDEX('Entrada de Dados'!L$6:L$196,MATCH($C32,'Entrada de Dados'!$A$6:$A$196,0))</f>
        <v/>
      </c>
      <c r="P32" s="260">
        <f>INDEX('Entrada de Dados'!M$6:M$196,MATCH($C32,'Entrada de Dados'!$A$6:$A$196,0))</f>
        <v/>
      </c>
      <c r="Q32" s="260">
        <f>INDEX('Entrada de Dados'!N$6:N$196,MATCH($C32,'Entrada de Dados'!$A$6:$A$196,0))</f>
        <v/>
      </c>
      <c r="R32" s="260">
        <f>INDEX('Entrada de Dados'!O$6:O$196,MATCH($C32,'Entrada de Dados'!$A$6:$A$196,0))</f>
        <v/>
      </c>
      <c r="S32" s="260">
        <f>INDEX('Entrada de Dados'!P$6:P$196,MATCH($C32,'Entrada de Dados'!$A$6:$A$196,0))</f>
        <v/>
      </c>
      <c r="T32" s="260">
        <f>INDEX('Entrada de Dados'!Q$6:Q$196,MATCH($C32,'Entrada de Dados'!$A$6:$A$196,0))</f>
        <v/>
      </c>
      <c r="U32" s="260">
        <f>INDEX('Entrada de Dados'!R$6:R$196,MATCH($C32,'Entrada de Dados'!$A$6:$A$196,0))</f>
        <v/>
      </c>
      <c r="V32" s="260">
        <f>INDEX('Entrada de Dados'!S$6:S$196,MATCH($C32,'Entrada de Dados'!$A$6:$A$196,0))</f>
        <v/>
      </c>
      <c r="W32" s="260">
        <f>INDEX('Entrada de Dados'!T$6:T$196,MATCH($C32,'Entrada de Dados'!$A$6:$A$196,0))</f>
        <v/>
      </c>
      <c r="X32" s="260">
        <f>INDEX('Entrada de Dados'!U$6:U$196,MATCH($C32,'Entrada de Dados'!$A$6:$A$196,0))</f>
        <v/>
      </c>
    </row>
    <row r="33" ht="21.75" customHeight="1" s="163">
      <c r="A33" s="265" t="inlineStr">
        <is>
          <t>Peso previsto:</t>
        </is>
      </c>
      <c r="C33" s="266">
        <f>SUM(F26:F32)+SUM(G26:G32)+SUM(H26:H32)+SUM(I26:I32)+SUM(J26:J32)+SUM(K26:K32)+SUM(L26:L32)+SUM(M26:M32)+SUM(N26:N32)+SUM(O26:O32)+SUM(P26:P32)+SUM(Q26:Q32)+SUM(R26:R32)+SUM(S26:S32)+SUM(T26:T32)+SUM(U26:U32)+SUM(W26:W32)+SUM(X26:X32)</f>
        <v/>
      </c>
      <c r="D33" s="265" t="inlineStr">
        <is>
          <t>Peso embarcado (kg):</t>
        </is>
      </c>
      <c r="F33" s="267" t="n"/>
      <c r="G33" s="265" t="inlineStr">
        <is>
          <t>Veículo:</t>
        </is>
      </c>
      <c r="I33" s="267" t="n"/>
      <c r="J33" s="268" t="n"/>
      <c r="K33" s="265" t="inlineStr">
        <is>
          <t>Motorista:</t>
        </is>
      </c>
      <c r="M33" s="267" t="n"/>
      <c r="N33" s="269" t="n"/>
      <c r="O33" s="269" t="n"/>
      <c r="P33" s="269" t="n"/>
      <c r="Q33" s="269" t="n"/>
      <c r="R33" s="269" t="n"/>
      <c r="S33" s="269" t="n"/>
      <c r="T33" s="269" t="n"/>
      <c r="U33" s="269" t="n"/>
      <c r="V33" s="269" t="n"/>
      <c r="W33" s="269" t="n"/>
      <c r="X33" s="268" t="n"/>
    </row>
    <row r="35" ht="19.5" customHeight="1" s="163">
      <c r="A35" s="186" t="inlineStr">
        <is>
          <t>ROTA S3 — NOGUEIRA - CORRÊAS - CASTELO SÃO MANOEL · CAMINHÃO MÉDIO · 16 escolas · 16 paradas físicas</t>
        </is>
      </c>
    </row>
    <row r="36" ht="25.5" customHeight="1" s="163">
      <c r="A36" s="256" t="inlineStr">
        <is>
          <t>Sequência-base: Galpão Itaipava &gt; Nogueira &gt; Corrêas &gt; Castelo São Manoel &gt; Galpão   Atenção: O CEI Therezinha de Jesus Lima foi transferido para este bloco porque o endereço fica em Corrêas.</t>
        </is>
      </c>
    </row>
    <row r="37" ht="30" customHeight="1" s="163">
      <c r="A37" s="257" t="inlineStr">
        <is>
          <t>PAR.</t>
        </is>
      </c>
      <c r="B37" s="257" t="inlineStr">
        <is>
          <t>SUB</t>
        </is>
      </c>
      <c r="C37" s="257" t="inlineStr">
        <is>
          <t>CÓDIGO</t>
        </is>
      </c>
      <c r="D37" s="257" t="inlineStr">
        <is>
          <t>ESCOLA</t>
        </is>
      </c>
      <c r="E37" s="257" t="inlineStr">
        <is>
          <t>BAIRRO/CORREDOR</t>
        </is>
      </c>
      <c r="F37" s="257" t="inlineStr">
        <is>
          <t>Abacate</t>
        </is>
      </c>
      <c r="G37" s="257" t="inlineStr">
        <is>
          <t>Abobrinha</t>
        </is>
      </c>
      <c r="H37" s="257" t="inlineStr">
        <is>
          <t>Agrião</t>
        </is>
      </c>
      <c r="I37" s="257" t="inlineStr">
        <is>
          <t>Alface lisa</t>
        </is>
      </c>
      <c r="J37" s="257" t="inlineStr">
        <is>
          <t>Banana prata</t>
        </is>
      </c>
      <c r="K37" s="257" t="inlineStr">
        <is>
          <t>Batata inglesa</t>
        </is>
      </c>
      <c r="L37" s="257" t="inlineStr">
        <is>
          <t>Beterraba</t>
        </is>
      </c>
      <c r="M37" s="257" t="inlineStr">
        <is>
          <t>Brócolis</t>
        </is>
      </c>
      <c r="N37" s="257" t="inlineStr">
        <is>
          <t>Cenoura</t>
        </is>
      </c>
      <c r="O37" s="257" t="inlineStr">
        <is>
          <t>Cheiro verde</t>
        </is>
      </c>
      <c r="P37" s="257" t="inlineStr">
        <is>
          <t>Chuchu</t>
        </is>
      </c>
      <c r="Q37" s="257" t="inlineStr">
        <is>
          <t>Couve manteiga</t>
        </is>
      </c>
      <c r="R37" s="257" t="inlineStr">
        <is>
          <t>Couve-flor</t>
        </is>
      </c>
      <c r="S37" s="257" t="inlineStr">
        <is>
          <t>Espinafre</t>
        </is>
      </c>
      <c r="T37" s="257" t="inlineStr">
        <is>
          <t>Maçã gala</t>
        </is>
      </c>
      <c r="U37" s="257" t="inlineStr">
        <is>
          <t>Mel</t>
        </is>
      </c>
      <c r="V37" s="257" t="inlineStr">
        <is>
          <t>Ovos (dz)</t>
        </is>
      </c>
      <c r="W37" s="257" t="inlineStr">
        <is>
          <t>Repolho</t>
        </is>
      </c>
      <c r="X37" s="257" t="inlineStr">
        <is>
          <t>Tangerina ponkan</t>
        </is>
      </c>
    </row>
    <row r="38" ht="15" customHeight="1" s="163">
      <c r="A38" s="258" t="n">
        <v>1</v>
      </c>
      <c r="B38" s="258" t="n"/>
      <c r="C38" s="258" t="inlineStr">
        <is>
          <t>1116</t>
        </is>
      </c>
      <c r="D38" s="259">
        <f>HYPERLINK("#'E M PROF NILTON COSTA PEREIRA D'!A1","E M PROF NILTON COSTA PEREIRA DE SÃO THIAGO")</f>
        <v/>
      </c>
      <c r="E38" s="259" t="inlineStr">
        <is>
          <t>NOGUEIRA</t>
        </is>
      </c>
      <c r="F38" s="260">
        <f>INDEX('Entrada de Dados'!C$6:C$196,MATCH($C38,'Entrada de Dados'!$A$6:$A$196,0))</f>
        <v/>
      </c>
      <c r="G38" s="260">
        <f>INDEX('Entrada de Dados'!D$6:D$196,MATCH($C38,'Entrada de Dados'!$A$6:$A$196,0))</f>
        <v/>
      </c>
      <c r="H38" s="260">
        <f>INDEX('Entrada de Dados'!E$6:E$196,MATCH($C38,'Entrada de Dados'!$A$6:$A$196,0))</f>
        <v/>
      </c>
      <c r="I38" s="260">
        <f>INDEX('Entrada de Dados'!F$6:F$196,MATCH($C38,'Entrada de Dados'!$A$6:$A$196,0))</f>
        <v/>
      </c>
      <c r="J38" s="260">
        <f>INDEX('Entrada de Dados'!G$6:G$196,MATCH($C38,'Entrada de Dados'!$A$6:$A$196,0))</f>
        <v/>
      </c>
      <c r="K38" s="260">
        <f>INDEX('Entrada de Dados'!H$6:H$196,MATCH($C38,'Entrada de Dados'!$A$6:$A$196,0))</f>
        <v/>
      </c>
      <c r="L38" s="260">
        <f>INDEX('Entrada de Dados'!I$6:I$196,MATCH($C38,'Entrada de Dados'!$A$6:$A$196,0))</f>
        <v/>
      </c>
      <c r="M38" s="260">
        <f>INDEX('Entrada de Dados'!J$6:J$196,MATCH($C38,'Entrada de Dados'!$A$6:$A$196,0))</f>
        <v/>
      </c>
      <c r="N38" s="260">
        <f>INDEX('Entrada de Dados'!K$6:K$196,MATCH($C38,'Entrada de Dados'!$A$6:$A$196,0))</f>
        <v/>
      </c>
      <c r="O38" s="260">
        <f>INDEX('Entrada de Dados'!L$6:L$196,MATCH($C38,'Entrada de Dados'!$A$6:$A$196,0))</f>
        <v/>
      </c>
      <c r="P38" s="260">
        <f>INDEX('Entrada de Dados'!M$6:M$196,MATCH($C38,'Entrada de Dados'!$A$6:$A$196,0))</f>
        <v/>
      </c>
      <c r="Q38" s="260">
        <f>INDEX('Entrada de Dados'!N$6:N$196,MATCH($C38,'Entrada de Dados'!$A$6:$A$196,0))</f>
        <v/>
      </c>
      <c r="R38" s="260">
        <f>INDEX('Entrada de Dados'!O$6:O$196,MATCH($C38,'Entrada de Dados'!$A$6:$A$196,0))</f>
        <v/>
      </c>
      <c r="S38" s="260">
        <f>INDEX('Entrada de Dados'!P$6:P$196,MATCH($C38,'Entrada de Dados'!$A$6:$A$196,0))</f>
        <v/>
      </c>
      <c r="T38" s="260">
        <f>INDEX('Entrada de Dados'!Q$6:Q$196,MATCH($C38,'Entrada de Dados'!$A$6:$A$196,0))</f>
        <v/>
      </c>
      <c r="U38" s="260">
        <f>INDEX('Entrada de Dados'!R$6:R$196,MATCH($C38,'Entrada de Dados'!$A$6:$A$196,0))</f>
        <v/>
      </c>
      <c r="V38" s="260">
        <f>INDEX('Entrada de Dados'!S$6:S$196,MATCH($C38,'Entrada de Dados'!$A$6:$A$196,0))</f>
        <v/>
      </c>
      <c r="W38" s="260">
        <f>INDEX('Entrada de Dados'!T$6:T$196,MATCH($C38,'Entrada de Dados'!$A$6:$A$196,0))</f>
        <v/>
      </c>
      <c r="X38" s="260">
        <f>INDEX('Entrada de Dados'!U$6:U$196,MATCH($C38,'Entrada de Dados'!$A$6:$A$196,0))</f>
        <v/>
      </c>
    </row>
    <row r="39" ht="15" customHeight="1" s="163">
      <c r="A39" s="258" t="n">
        <v>2</v>
      </c>
      <c r="B39" s="258" t="n"/>
      <c r="C39" s="258" t="inlineStr">
        <is>
          <t>3079</t>
        </is>
      </c>
      <c r="D39" s="259">
        <f>HYPERLINK("#'CENTRO DE EDUCAÇÃO INFANTIL SÉR'!A1","CENTRO DE EDUCAÇÃO INFANTIL SÉRGIO RIBEIRO ROCHA")</f>
        <v/>
      </c>
      <c r="E39" s="259" t="inlineStr">
        <is>
          <t>NOGUEIRA</t>
        </is>
      </c>
      <c r="F39" s="260">
        <f>INDEX('Entrada de Dados'!C$6:C$196,MATCH($C39,'Entrada de Dados'!$A$6:$A$196,0))</f>
        <v/>
      </c>
      <c r="G39" s="260">
        <f>INDEX('Entrada de Dados'!D$6:D$196,MATCH($C39,'Entrada de Dados'!$A$6:$A$196,0))</f>
        <v/>
      </c>
      <c r="H39" s="260">
        <f>INDEX('Entrada de Dados'!E$6:E$196,MATCH($C39,'Entrada de Dados'!$A$6:$A$196,0))</f>
        <v/>
      </c>
      <c r="I39" s="260">
        <f>INDEX('Entrada de Dados'!F$6:F$196,MATCH($C39,'Entrada de Dados'!$A$6:$A$196,0))</f>
        <v/>
      </c>
      <c r="J39" s="260">
        <f>INDEX('Entrada de Dados'!G$6:G$196,MATCH($C39,'Entrada de Dados'!$A$6:$A$196,0))</f>
        <v/>
      </c>
      <c r="K39" s="260">
        <f>INDEX('Entrada de Dados'!H$6:H$196,MATCH($C39,'Entrada de Dados'!$A$6:$A$196,0))</f>
        <v/>
      </c>
      <c r="L39" s="260">
        <f>INDEX('Entrada de Dados'!I$6:I$196,MATCH($C39,'Entrada de Dados'!$A$6:$A$196,0))</f>
        <v/>
      </c>
      <c r="M39" s="260">
        <f>INDEX('Entrada de Dados'!J$6:J$196,MATCH($C39,'Entrada de Dados'!$A$6:$A$196,0))</f>
        <v/>
      </c>
      <c r="N39" s="260">
        <f>INDEX('Entrada de Dados'!K$6:K$196,MATCH($C39,'Entrada de Dados'!$A$6:$A$196,0))</f>
        <v/>
      </c>
      <c r="O39" s="260">
        <f>INDEX('Entrada de Dados'!L$6:L$196,MATCH($C39,'Entrada de Dados'!$A$6:$A$196,0))</f>
        <v/>
      </c>
      <c r="P39" s="260">
        <f>INDEX('Entrada de Dados'!M$6:M$196,MATCH($C39,'Entrada de Dados'!$A$6:$A$196,0))</f>
        <v/>
      </c>
      <c r="Q39" s="260">
        <f>INDEX('Entrada de Dados'!N$6:N$196,MATCH($C39,'Entrada de Dados'!$A$6:$A$196,0))</f>
        <v/>
      </c>
      <c r="R39" s="260">
        <f>INDEX('Entrada de Dados'!O$6:O$196,MATCH($C39,'Entrada de Dados'!$A$6:$A$196,0))</f>
        <v/>
      </c>
      <c r="S39" s="260">
        <f>INDEX('Entrada de Dados'!P$6:P$196,MATCH($C39,'Entrada de Dados'!$A$6:$A$196,0))</f>
        <v/>
      </c>
      <c r="T39" s="260">
        <f>INDEX('Entrada de Dados'!Q$6:Q$196,MATCH($C39,'Entrada de Dados'!$A$6:$A$196,0))</f>
        <v/>
      </c>
      <c r="U39" s="260">
        <f>INDEX('Entrada de Dados'!R$6:R$196,MATCH($C39,'Entrada de Dados'!$A$6:$A$196,0))</f>
        <v/>
      </c>
      <c r="V39" s="260">
        <f>INDEX('Entrada de Dados'!S$6:S$196,MATCH($C39,'Entrada de Dados'!$A$6:$A$196,0))</f>
        <v/>
      </c>
      <c r="W39" s="260">
        <f>INDEX('Entrada de Dados'!T$6:T$196,MATCH($C39,'Entrada de Dados'!$A$6:$A$196,0))</f>
        <v/>
      </c>
      <c r="X39" s="260">
        <f>INDEX('Entrada de Dados'!U$6:U$196,MATCH($C39,'Entrada de Dados'!$A$6:$A$196,0))</f>
        <v/>
      </c>
    </row>
    <row r="40" ht="15" customHeight="1" s="163">
      <c r="A40" s="258" t="n">
        <v>3</v>
      </c>
      <c r="B40" s="258" t="n"/>
      <c r="C40" s="258" t="inlineStr">
        <is>
          <t>4003</t>
        </is>
      </c>
      <c r="D40" s="259">
        <f>HYPERLINK("#'CEI SANTO ANTÔNIO AGOSTINHO'!A1","CEI SANTO ANTÔNIO AGOSTINHO")</f>
        <v/>
      </c>
      <c r="E40" s="259" t="inlineStr">
        <is>
          <t>NOGUEIRA</t>
        </is>
      </c>
      <c r="F40" s="260">
        <f>INDEX('Entrada de Dados'!C$6:C$196,MATCH($C40,'Entrada de Dados'!$A$6:$A$196,0))</f>
        <v/>
      </c>
      <c r="G40" s="260">
        <f>INDEX('Entrada de Dados'!D$6:D$196,MATCH($C40,'Entrada de Dados'!$A$6:$A$196,0))</f>
        <v/>
      </c>
      <c r="H40" s="260">
        <f>INDEX('Entrada de Dados'!E$6:E$196,MATCH($C40,'Entrada de Dados'!$A$6:$A$196,0))</f>
        <v/>
      </c>
      <c r="I40" s="260">
        <f>INDEX('Entrada de Dados'!F$6:F$196,MATCH($C40,'Entrada de Dados'!$A$6:$A$196,0))</f>
        <v/>
      </c>
      <c r="J40" s="260">
        <f>INDEX('Entrada de Dados'!G$6:G$196,MATCH($C40,'Entrada de Dados'!$A$6:$A$196,0))</f>
        <v/>
      </c>
      <c r="K40" s="260">
        <f>INDEX('Entrada de Dados'!H$6:H$196,MATCH($C40,'Entrada de Dados'!$A$6:$A$196,0))</f>
        <v/>
      </c>
      <c r="L40" s="260">
        <f>INDEX('Entrada de Dados'!I$6:I$196,MATCH($C40,'Entrada de Dados'!$A$6:$A$196,0))</f>
        <v/>
      </c>
      <c r="M40" s="260">
        <f>INDEX('Entrada de Dados'!J$6:J$196,MATCH($C40,'Entrada de Dados'!$A$6:$A$196,0))</f>
        <v/>
      </c>
      <c r="N40" s="260">
        <f>INDEX('Entrada de Dados'!K$6:K$196,MATCH($C40,'Entrada de Dados'!$A$6:$A$196,0))</f>
        <v/>
      </c>
      <c r="O40" s="260">
        <f>INDEX('Entrada de Dados'!L$6:L$196,MATCH($C40,'Entrada de Dados'!$A$6:$A$196,0))</f>
        <v/>
      </c>
      <c r="P40" s="260">
        <f>INDEX('Entrada de Dados'!M$6:M$196,MATCH($C40,'Entrada de Dados'!$A$6:$A$196,0))</f>
        <v/>
      </c>
      <c r="Q40" s="260">
        <f>INDEX('Entrada de Dados'!N$6:N$196,MATCH($C40,'Entrada de Dados'!$A$6:$A$196,0))</f>
        <v/>
      </c>
      <c r="R40" s="260">
        <f>INDEX('Entrada de Dados'!O$6:O$196,MATCH($C40,'Entrada de Dados'!$A$6:$A$196,0))</f>
        <v/>
      </c>
      <c r="S40" s="260">
        <f>INDEX('Entrada de Dados'!P$6:P$196,MATCH($C40,'Entrada de Dados'!$A$6:$A$196,0))</f>
        <v/>
      </c>
      <c r="T40" s="260">
        <f>INDEX('Entrada de Dados'!Q$6:Q$196,MATCH($C40,'Entrada de Dados'!$A$6:$A$196,0))</f>
        <v/>
      </c>
      <c r="U40" s="260">
        <f>INDEX('Entrada de Dados'!R$6:R$196,MATCH($C40,'Entrada de Dados'!$A$6:$A$196,0))</f>
        <v/>
      </c>
      <c r="V40" s="260">
        <f>INDEX('Entrada de Dados'!S$6:S$196,MATCH($C40,'Entrada de Dados'!$A$6:$A$196,0))</f>
        <v/>
      </c>
      <c r="W40" s="260">
        <f>INDEX('Entrada de Dados'!T$6:T$196,MATCH($C40,'Entrada de Dados'!$A$6:$A$196,0))</f>
        <v/>
      </c>
      <c r="X40" s="260">
        <f>INDEX('Entrada de Dados'!U$6:U$196,MATCH($C40,'Entrada de Dados'!$A$6:$A$196,0))</f>
        <v/>
      </c>
    </row>
    <row r="41" ht="15" customHeight="1" s="163">
      <c r="A41" s="258" t="n">
        <v>4</v>
      </c>
      <c r="B41" s="258" t="n"/>
      <c r="C41" s="258" t="inlineStr">
        <is>
          <t>1037</t>
        </is>
      </c>
      <c r="D41" s="259">
        <f>HYPERLINK("#'ESCOLA MUNICIPAL ODETTE YOUNG M'!A1","ESCOLA MUNICIPAL ODETTE YOUNG MONTEIRO")</f>
        <v/>
      </c>
      <c r="E41" s="259" t="inlineStr">
        <is>
          <t>CORRÊAS</t>
        </is>
      </c>
      <c r="F41" s="260">
        <f>INDEX('Entrada de Dados'!C$6:C$196,MATCH($C41,'Entrada de Dados'!$A$6:$A$196,0))</f>
        <v/>
      </c>
      <c r="G41" s="260">
        <f>INDEX('Entrada de Dados'!D$6:D$196,MATCH($C41,'Entrada de Dados'!$A$6:$A$196,0))</f>
        <v/>
      </c>
      <c r="H41" s="260">
        <f>INDEX('Entrada de Dados'!E$6:E$196,MATCH($C41,'Entrada de Dados'!$A$6:$A$196,0))</f>
        <v/>
      </c>
      <c r="I41" s="260">
        <f>INDEX('Entrada de Dados'!F$6:F$196,MATCH($C41,'Entrada de Dados'!$A$6:$A$196,0))</f>
        <v/>
      </c>
      <c r="J41" s="260">
        <f>INDEX('Entrada de Dados'!G$6:G$196,MATCH($C41,'Entrada de Dados'!$A$6:$A$196,0))</f>
        <v/>
      </c>
      <c r="K41" s="260">
        <f>INDEX('Entrada de Dados'!H$6:H$196,MATCH($C41,'Entrada de Dados'!$A$6:$A$196,0))</f>
        <v/>
      </c>
      <c r="L41" s="260">
        <f>INDEX('Entrada de Dados'!I$6:I$196,MATCH($C41,'Entrada de Dados'!$A$6:$A$196,0))</f>
        <v/>
      </c>
      <c r="M41" s="260">
        <f>INDEX('Entrada de Dados'!J$6:J$196,MATCH($C41,'Entrada de Dados'!$A$6:$A$196,0))</f>
        <v/>
      </c>
      <c r="N41" s="260">
        <f>INDEX('Entrada de Dados'!K$6:K$196,MATCH($C41,'Entrada de Dados'!$A$6:$A$196,0))</f>
        <v/>
      </c>
      <c r="O41" s="260">
        <f>INDEX('Entrada de Dados'!L$6:L$196,MATCH($C41,'Entrada de Dados'!$A$6:$A$196,0))</f>
        <v/>
      </c>
      <c r="P41" s="260">
        <f>INDEX('Entrada de Dados'!M$6:M$196,MATCH($C41,'Entrada de Dados'!$A$6:$A$196,0))</f>
        <v/>
      </c>
      <c r="Q41" s="260">
        <f>INDEX('Entrada de Dados'!N$6:N$196,MATCH($C41,'Entrada de Dados'!$A$6:$A$196,0))</f>
        <v/>
      </c>
      <c r="R41" s="260">
        <f>INDEX('Entrada de Dados'!O$6:O$196,MATCH($C41,'Entrada de Dados'!$A$6:$A$196,0))</f>
        <v/>
      </c>
      <c r="S41" s="260">
        <f>INDEX('Entrada de Dados'!P$6:P$196,MATCH($C41,'Entrada de Dados'!$A$6:$A$196,0))</f>
        <v/>
      </c>
      <c r="T41" s="260">
        <f>INDEX('Entrada de Dados'!Q$6:Q$196,MATCH($C41,'Entrada de Dados'!$A$6:$A$196,0))</f>
        <v/>
      </c>
      <c r="U41" s="260">
        <f>INDEX('Entrada de Dados'!R$6:R$196,MATCH($C41,'Entrada de Dados'!$A$6:$A$196,0))</f>
        <v/>
      </c>
      <c r="V41" s="260">
        <f>INDEX('Entrada de Dados'!S$6:S$196,MATCH($C41,'Entrada de Dados'!$A$6:$A$196,0))</f>
        <v/>
      </c>
      <c r="W41" s="260">
        <f>INDEX('Entrada de Dados'!T$6:T$196,MATCH($C41,'Entrada de Dados'!$A$6:$A$196,0))</f>
        <v/>
      </c>
      <c r="X41" s="260">
        <f>INDEX('Entrada de Dados'!U$6:U$196,MATCH($C41,'Entrada de Dados'!$A$6:$A$196,0))</f>
        <v/>
      </c>
    </row>
    <row r="42" ht="15" customHeight="1" s="163">
      <c r="A42" s="258" t="n">
        <v>5</v>
      </c>
      <c r="B42" s="258" t="n"/>
      <c r="C42" s="258" t="inlineStr">
        <is>
          <t>3076</t>
        </is>
      </c>
      <c r="D42" s="259">
        <f>HYPERLINK("#'CEI THEREZINHA DE JESUS LIMA'!A1","CEI THEREZINHA DE JESUS LIMA")</f>
        <v/>
      </c>
      <c r="E42" s="259" t="inlineStr">
        <is>
          <t>BONFIM</t>
        </is>
      </c>
      <c r="F42" s="260">
        <f>INDEX('Entrada de Dados'!C$6:C$196,MATCH($C42,'Entrada de Dados'!$A$6:$A$196,0))</f>
        <v/>
      </c>
      <c r="G42" s="260">
        <f>INDEX('Entrada de Dados'!D$6:D$196,MATCH($C42,'Entrada de Dados'!$A$6:$A$196,0))</f>
        <v/>
      </c>
      <c r="H42" s="260">
        <f>INDEX('Entrada de Dados'!E$6:E$196,MATCH($C42,'Entrada de Dados'!$A$6:$A$196,0))</f>
        <v/>
      </c>
      <c r="I42" s="260">
        <f>INDEX('Entrada de Dados'!F$6:F$196,MATCH($C42,'Entrada de Dados'!$A$6:$A$196,0))</f>
        <v/>
      </c>
      <c r="J42" s="260">
        <f>INDEX('Entrada de Dados'!G$6:G$196,MATCH($C42,'Entrada de Dados'!$A$6:$A$196,0))</f>
        <v/>
      </c>
      <c r="K42" s="260">
        <f>INDEX('Entrada de Dados'!H$6:H$196,MATCH($C42,'Entrada de Dados'!$A$6:$A$196,0))</f>
        <v/>
      </c>
      <c r="L42" s="260">
        <f>INDEX('Entrada de Dados'!I$6:I$196,MATCH($C42,'Entrada de Dados'!$A$6:$A$196,0))</f>
        <v/>
      </c>
      <c r="M42" s="260">
        <f>INDEX('Entrada de Dados'!J$6:J$196,MATCH($C42,'Entrada de Dados'!$A$6:$A$196,0))</f>
        <v/>
      </c>
      <c r="N42" s="260">
        <f>INDEX('Entrada de Dados'!K$6:K$196,MATCH($C42,'Entrada de Dados'!$A$6:$A$196,0))</f>
        <v/>
      </c>
      <c r="O42" s="260">
        <f>INDEX('Entrada de Dados'!L$6:L$196,MATCH($C42,'Entrada de Dados'!$A$6:$A$196,0))</f>
        <v/>
      </c>
      <c r="P42" s="260">
        <f>INDEX('Entrada de Dados'!M$6:M$196,MATCH($C42,'Entrada de Dados'!$A$6:$A$196,0))</f>
        <v/>
      </c>
      <c r="Q42" s="260">
        <f>INDEX('Entrada de Dados'!N$6:N$196,MATCH($C42,'Entrada de Dados'!$A$6:$A$196,0))</f>
        <v/>
      </c>
      <c r="R42" s="260">
        <f>INDEX('Entrada de Dados'!O$6:O$196,MATCH($C42,'Entrada de Dados'!$A$6:$A$196,0))</f>
        <v/>
      </c>
      <c r="S42" s="260">
        <f>INDEX('Entrada de Dados'!P$6:P$196,MATCH($C42,'Entrada de Dados'!$A$6:$A$196,0))</f>
        <v/>
      </c>
      <c r="T42" s="260">
        <f>INDEX('Entrada de Dados'!Q$6:Q$196,MATCH($C42,'Entrada de Dados'!$A$6:$A$196,0))</f>
        <v/>
      </c>
      <c r="U42" s="260">
        <f>INDEX('Entrada de Dados'!R$6:R$196,MATCH($C42,'Entrada de Dados'!$A$6:$A$196,0))</f>
        <v/>
      </c>
      <c r="V42" s="260">
        <f>INDEX('Entrada de Dados'!S$6:S$196,MATCH($C42,'Entrada de Dados'!$A$6:$A$196,0))</f>
        <v/>
      </c>
      <c r="W42" s="260">
        <f>INDEX('Entrada de Dados'!T$6:T$196,MATCH($C42,'Entrada de Dados'!$A$6:$A$196,0))</f>
        <v/>
      </c>
      <c r="X42" s="260">
        <f>INDEX('Entrada de Dados'!U$6:U$196,MATCH($C42,'Entrada de Dados'!$A$6:$A$196,0))</f>
        <v/>
      </c>
    </row>
    <row r="43" ht="15" customHeight="1" s="163">
      <c r="A43" s="258" t="n">
        <v>6</v>
      </c>
      <c r="B43" s="258" t="n"/>
      <c r="C43" s="258" t="inlineStr">
        <is>
          <t>2034</t>
        </is>
      </c>
      <c r="D43" s="259">
        <f>HYPERLINK("#'COLEGIO VICENTINO PADRE CORRÊA'!A1","COLEGIO VICENTINO PADRE CORRÊA")</f>
        <v/>
      </c>
      <c r="E43" s="259" t="inlineStr">
        <is>
          <t>CORRÊAS</t>
        </is>
      </c>
      <c r="F43" s="260">
        <f>INDEX('Entrada de Dados'!C$6:C$196,MATCH($C43,'Entrada de Dados'!$A$6:$A$196,0))</f>
        <v/>
      </c>
      <c r="G43" s="260">
        <f>INDEX('Entrada de Dados'!D$6:D$196,MATCH($C43,'Entrada de Dados'!$A$6:$A$196,0))</f>
        <v/>
      </c>
      <c r="H43" s="260">
        <f>INDEX('Entrada de Dados'!E$6:E$196,MATCH($C43,'Entrada de Dados'!$A$6:$A$196,0))</f>
        <v/>
      </c>
      <c r="I43" s="260">
        <f>INDEX('Entrada de Dados'!F$6:F$196,MATCH($C43,'Entrada de Dados'!$A$6:$A$196,0))</f>
        <v/>
      </c>
      <c r="J43" s="260">
        <f>INDEX('Entrada de Dados'!G$6:G$196,MATCH($C43,'Entrada de Dados'!$A$6:$A$196,0))</f>
        <v/>
      </c>
      <c r="K43" s="260">
        <f>INDEX('Entrada de Dados'!H$6:H$196,MATCH($C43,'Entrada de Dados'!$A$6:$A$196,0))</f>
        <v/>
      </c>
      <c r="L43" s="260">
        <f>INDEX('Entrada de Dados'!I$6:I$196,MATCH($C43,'Entrada de Dados'!$A$6:$A$196,0))</f>
        <v/>
      </c>
      <c r="M43" s="260">
        <f>INDEX('Entrada de Dados'!J$6:J$196,MATCH($C43,'Entrada de Dados'!$A$6:$A$196,0))</f>
        <v/>
      </c>
      <c r="N43" s="260">
        <f>INDEX('Entrada de Dados'!K$6:K$196,MATCH($C43,'Entrada de Dados'!$A$6:$A$196,0))</f>
        <v/>
      </c>
      <c r="O43" s="260">
        <f>INDEX('Entrada de Dados'!L$6:L$196,MATCH($C43,'Entrada de Dados'!$A$6:$A$196,0))</f>
        <v/>
      </c>
      <c r="P43" s="260">
        <f>INDEX('Entrada de Dados'!M$6:M$196,MATCH($C43,'Entrada de Dados'!$A$6:$A$196,0))</f>
        <v/>
      </c>
      <c r="Q43" s="260">
        <f>INDEX('Entrada de Dados'!N$6:N$196,MATCH($C43,'Entrada de Dados'!$A$6:$A$196,0))</f>
        <v/>
      </c>
      <c r="R43" s="260">
        <f>INDEX('Entrada de Dados'!O$6:O$196,MATCH($C43,'Entrada de Dados'!$A$6:$A$196,0))</f>
        <v/>
      </c>
      <c r="S43" s="260">
        <f>INDEX('Entrada de Dados'!P$6:P$196,MATCH($C43,'Entrada de Dados'!$A$6:$A$196,0))</f>
        <v/>
      </c>
      <c r="T43" s="260">
        <f>INDEX('Entrada de Dados'!Q$6:Q$196,MATCH($C43,'Entrada de Dados'!$A$6:$A$196,0))</f>
        <v/>
      </c>
      <c r="U43" s="260">
        <f>INDEX('Entrada de Dados'!R$6:R$196,MATCH($C43,'Entrada de Dados'!$A$6:$A$196,0))</f>
        <v/>
      </c>
      <c r="V43" s="260">
        <f>INDEX('Entrada de Dados'!S$6:S$196,MATCH($C43,'Entrada de Dados'!$A$6:$A$196,0))</f>
        <v/>
      </c>
      <c r="W43" s="260">
        <f>INDEX('Entrada de Dados'!T$6:T$196,MATCH($C43,'Entrada de Dados'!$A$6:$A$196,0))</f>
        <v/>
      </c>
      <c r="X43" s="260">
        <f>INDEX('Entrada de Dados'!U$6:U$196,MATCH($C43,'Entrada de Dados'!$A$6:$A$196,0))</f>
        <v/>
      </c>
    </row>
    <row r="44" ht="15" customHeight="1" s="163">
      <c r="A44" s="258" t="n">
        <v>7</v>
      </c>
      <c r="B44" s="258" t="n"/>
      <c r="C44" s="258" t="inlineStr">
        <is>
          <t>3059</t>
        </is>
      </c>
      <c r="D44" s="259">
        <f>HYPERLINK("#'CEI IRINEU MARINHO'!A1","CEI IRINEU MARINHO")</f>
        <v/>
      </c>
      <c r="E44" s="259" t="inlineStr">
        <is>
          <t>CORRÊAS</t>
        </is>
      </c>
      <c r="F44" s="260">
        <f>INDEX('Entrada de Dados'!C$6:C$196,MATCH($C44,'Entrada de Dados'!$A$6:$A$196,0))</f>
        <v/>
      </c>
      <c r="G44" s="260">
        <f>INDEX('Entrada de Dados'!D$6:D$196,MATCH($C44,'Entrada de Dados'!$A$6:$A$196,0))</f>
        <v/>
      </c>
      <c r="H44" s="260">
        <f>INDEX('Entrada de Dados'!E$6:E$196,MATCH($C44,'Entrada de Dados'!$A$6:$A$196,0))</f>
        <v/>
      </c>
      <c r="I44" s="260">
        <f>INDEX('Entrada de Dados'!F$6:F$196,MATCH($C44,'Entrada de Dados'!$A$6:$A$196,0))</f>
        <v/>
      </c>
      <c r="J44" s="260">
        <f>INDEX('Entrada de Dados'!G$6:G$196,MATCH($C44,'Entrada de Dados'!$A$6:$A$196,0))</f>
        <v/>
      </c>
      <c r="K44" s="260">
        <f>INDEX('Entrada de Dados'!H$6:H$196,MATCH($C44,'Entrada de Dados'!$A$6:$A$196,0))</f>
        <v/>
      </c>
      <c r="L44" s="260">
        <f>INDEX('Entrada de Dados'!I$6:I$196,MATCH($C44,'Entrada de Dados'!$A$6:$A$196,0))</f>
        <v/>
      </c>
      <c r="M44" s="260">
        <f>INDEX('Entrada de Dados'!J$6:J$196,MATCH($C44,'Entrada de Dados'!$A$6:$A$196,0))</f>
        <v/>
      </c>
      <c r="N44" s="260">
        <f>INDEX('Entrada de Dados'!K$6:K$196,MATCH($C44,'Entrada de Dados'!$A$6:$A$196,0))</f>
        <v/>
      </c>
      <c r="O44" s="260">
        <f>INDEX('Entrada de Dados'!L$6:L$196,MATCH($C44,'Entrada de Dados'!$A$6:$A$196,0))</f>
        <v/>
      </c>
      <c r="P44" s="260">
        <f>INDEX('Entrada de Dados'!M$6:M$196,MATCH($C44,'Entrada de Dados'!$A$6:$A$196,0))</f>
        <v/>
      </c>
      <c r="Q44" s="260">
        <f>INDEX('Entrada de Dados'!N$6:N$196,MATCH($C44,'Entrada de Dados'!$A$6:$A$196,0))</f>
        <v/>
      </c>
      <c r="R44" s="260">
        <f>INDEX('Entrada de Dados'!O$6:O$196,MATCH($C44,'Entrada de Dados'!$A$6:$A$196,0))</f>
        <v/>
      </c>
      <c r="S44" s="260">
        <f>INDEX('Entrada de Dados'!P$6:P$196,MATCH($C44,'Entrada de Dados'!$A$6:$A$196,0))</f>
        <v/>
      </c>
      <c r="T44" s="260">
        <f>INDEX('Entrada de Dados'!Q$6:Q$196,MATCH($C44,'Entrada de Dados'!$A$6:$A$196,0))</f>
        <v/>
      </c>
      <c r="U44" s="260">
        <f>INDEX('Entrada de Dados'!R$6:R$196,MATCH($C44,'Entrada de Dados'!$A$6:$A$196,0))</f>
        <v/>
      </c>
      <c r="V44" s="260">
        <f>INDEX('Entrada de Dados'!S$6:S$196,MATCH($C44,'Entrada de Dados'!$A$6:$A$196,0))</f>
        <v/>
      </c>
      <c r="W44" s="260">
        <f>INDEX('Entrada de Dados'!T$6:T$196,MATCH($C44,'Entrada de Dados'!$A$6:$A$196,0))</f>
        <v/>
      </c>
      <c r="X44" s="260">
        <f>INDEX('Entrada de Dados'!U$6:U$196,MATCH($C44,'Entrada de Dados'!$A$6:$A$196,0))</f>
        <v/>
      </c>
    </row>
    <row r="45" ht="15" customHeight="1" s="163">
      <c r="A45" s="258" t="n">
        <v>8</v>
      </c>
      <c r="B45" s="258" t="n"/>
      <c r="C45" s="258" t="inlineStr">
        <is>
          <t>3047</t>
        </is>
      </c>
      <c r="D45" s="259">
        <f>HYPERLINK("#'CEI PROFª MARLUCE DE SOUZA PEST'!A1","CEI PROFª MARLUCE DE SOUZA PESTANA")</f>
        <v/>
      </c>
      <c r="E45" s="259" t="inlineStr">
        <is>
          <t>CORRÊAS</t>
        </is>
      </c>
      <c r="F45" s="260">
        <f>INDEX('Entrada de Dados'!C$6:C$196,MATCH($C45,'Entrada de Dados'!$A$6:$A$196,0))</f>
        <v/>
      </c>
      <c r="G45" s="260">
        <f>INDEX('Entrada de Dados'!D$6:D$196,MATCH($C45,'Entrada de Dados'!$A$6:$A$196,0))</f>
        <v/>
      </c>
      <c r="H45" s="260">
        <f>INDEX('Entrada de Dados'!E$6:E$196,MATCH($C45,'Entrada de Dados'!$A$6:$A$196,0))</f>
        <v/>
      </c>
      <c r="I45" s="260">
        <f>INDEX('Entrada de Dados'!F$6:F$196,MATCH($C45,'Entrada de Dados'!$A$6:$A$196,0))</f>
        <v/>
      </c>
      <c r="J45" s="260">
        <f>INDEX('Entrada de Dados'!G$6:G$196,MATCH($C45,'Entrada de Dados'!$A$6:$A$196,0))</f>
        <v/>
      </c>
      <c r="K45" s="260">
        <f>INDEX('Entrada de Dados'!H$6:H$196,MATCH($C45,'Entrada de Dados'!$A$6:$A$196,0))</f>
        <v/>
      </c>
      <c r="L45" s="260">
        <f>INDEX('Entrada de Dados'!I$6:I$196,MATCH($C45,'Entrada de Dados'!$A$6:$A$196,0))</f>
        <v/>
      </c>
      <c r="M45" s="260">
        <f>INDEX('Entrada de Dados'!J$6:J$196,MATCH($C45,'Entrada de Dados'!$A$6:$A$196,0))</f>
        <v/>
      </c>
      <c r="N45" s="260">
        <f>INDEX('Entrada de Dados'!K$6:K$196,MATCH($C45,'Entrada de Dados'!$A$6:$A$196,0))</f>
        <v/>
      </c>
      <c r="O45" s="260">
        <f>INDEX('Entrada de Dados'!L$6:L$196,MATCH($C45,'Entrada de Dados'!$A$6:$A$196,0))</f>
        <v/>
      </c>
      <c r="P45" s="260">
        <f>INDEX('Entrada de Dados'!M$6:M$196,MATCH($C45,'Entrada de Dados'!$A$6:$A$196,0))</f>
        <v/>
      </c>
      <c r="Q45" s="260">
        <f>INDEX('Entrada de Dados'!N$6:N$196,MATCH($C45,'Entrada de Dados'!$A$6:$A$196,0))</f>
        <v/>
      </c>
      <c r="R45" s="260">
        <f>INDEX('Entrada de Dados'!O$6:O$196,MATCH($C45,'Entrada de Dados'!$A$6:$A$196,0))</f>
        <v/>
      </c>
      <c r="S45" s="260">
        <f>INDEX('Entrada de Dados'!P$6:P$196,MATCH($C45,'Entrada de Dados'!$A$6:$A$196,0))</f>
        <v/>
      </c>
      <c r="T45" s="260">
        <f>INDEX('Entrada de Dados'!Q$6:Q$196,MATCH($C45,'Entrada de Dados'!$A$6:$A$196,0))</f>
        <v/>
      </c>
      <c r="U45" s="260">
        <f>INDEX('Entrada de Dados'!R$6:R$196,MATCH($C45,'Entrada de Dados'!$A$6:$A$196,0))</f>
        <v/>
      </c>
      <c r="V45" s="260">
        <f>INDEX('Entrada de Dados'!S$6:S$196,MATCH($C45,'Entrada de Dados'!$A$6:$A$196,0))</f>
        <v/>
      </c>
      <c r="W45" s="260">
        <f>INDEX('Entrada de Dados'!T$6:T$196,MATCH($C45,'Entrada de Dados'!$A$6:$A$196,0))</f>
        <v/>
      </c>
      <c r="X45" s="260">
        <f>INDEX('Entrada de Dados'!U$6:U$196,MATCH($C45,'Entrada de Dados'!$A$6:$A$196,0))</f>
        <v/>
      </c>
    </row>
    <row r="46" ht="15" customHeight="1" s="163">
      <c r="A46" s="258" t="n">
        <v>9</v>
      </c>
      <c r="B46" s="258" t="n"/>
      <c r="C46" s="258" t="inlineStr">
        <is>
          <t>3069</t>
        </is>
      </c>
      <c r="D46" s="259">
        <f>HYPERLINK("#'CEI DAGMAR ROLANDO DE OLIVEIRA'!A1","CEI DAGMAR ROLANDO DE OLIVEIRA")</f>
        <v/>
      </c>
      <c r="E46" s="259" t="inlineStr">
        <is>
          <t>CORRÊAS</t>
        </is>
      </c>
      <c r="F46" s="260">
        <f>INDEX('Entrada de Dados'!C$6:C$196,MATCH($C46,'Entrada de Dados'!$A$6:$A$196,0))</f>
        <v/>
      </c>
      <c r="G46" s="260">
        <f>INDEX('Entrada de Dados'!D$6:D$196,MATCH($C46,'Entrada de Dados'!$A$6:$A$196,0))</f>
        <v/>
      </c>
      <c r="H46" s="260">
        <f>INDEX('Entrada de Dados'!E$6:E$196,MATCH($C46,'Entrada de Dados'!$A$6:$A$196,0))</f>
        <v/>
      </c>
      <c r="I46" s="260">
        <f>INDEX('Entrada de Dados'!F$6:F$196,MATCH($C46,'Entrada de Dados'!$A$6:$A$196,0))</f>
        <v/>
      </c>
      <c r="J46" s="260">
        <f>INDEX('Entrada de Dados'!G$6:G$196,MATCH($C46,'Entrada de Dados'!$A$6:$A$196,0))</f>
        <v/>
      </c>
      <c r="K46" s="260">
        <f>INDEX('Entrada de Dados'!H$6:H$196,MATCH($C46,'Entrada de Dados'!$A$6:$A$196,0))</f>
        <v/>
      </c>
      <c r="L46" s="260">
        <f>INDEX('Entrada de Dados'!I$6:I$196,MATCH($C46,'Entrada de Dados'!$A$6:$A$196,0))</f>
        <v/>
      </c>
      <c r="M46" s="260">
        <f>INDEX('Entrada de Dados'!J$6:J$196,MATCH($C46,'Entrada de Dados'!$A$6:$A$196,0))</f>
        <v/>
      </c>
      <c r="N46" s="260">
        <f>INDEX('Entrada de Dados'!K$6:K$196,MATCH($C46,'Entrada de Dados'!$A$6:$A$196,0))</f>
        <v/>
      </c>
      <c r="O46" s="260">
        <f>INDEX('Entrada de Dados'!L$6:L$196,MATCH($C46,'Entrada de Dados'!$A$6:$A$196,0))</f>
        <v/>
      </c>
      <c r="P46" s="260">
        <f>INDEX('Entrada de Dados'!M$6:M$196,MATCH($C46,'Entrada de Dados'!$A$6:$A$196,0))</f>
        <v/>
      </c>
      <c r="Q46" s="260">
        <f>INDEX('Entrada de Dados'!N$6:N$196,MATCH($C46,'Entrada de Dados'!$A$6:$A$196,0))</f>
        <v/>
      </c>
      <c r="R46" s="260">
        <f>INDEX('Entrada de Dados'!O$6:O$196,MATCH($C46,'Entrada de Dados'!$A$6:$A$196,0))</f>
        <v/>
      </c>
      <c r="S46" s="260">
        <f>INDEX('Entrada de Dados'!P$6:P$196,MATCH($C46,'Entrada de Dados'!$A$6:$A$196,0))</f>
        <v/>
      </c>
      <c r="T46" s="260">
        <f>INDEX('Entrada de Dados'!Q$6:Q$196,MATCH($C46,'Entrada de Dados'!$A$6:$A$196,0))</f>
        <v/>
      </c>
      <c r="U46" s="260">
        <f>INDEX('Entrada de Dados'!R$6:R$196,MATCH($C46,'Entrada de Dados'!$A$6:$A$196,0))</f>
        <v/>
      </c>
      <c r="V46" s="260">
        <f>INDEX('Entrada de Dados'!S$6:S$196,MATCH($C46,'Entrada de Dados'!$A$6:$A$196,0))</f>
        <v/>
      </c>
      <c r="W46" s="260">
        <f>INDEX('Entrada de Dados'!T$6:T$196,MATCH($C46,'Entrada de Dados'!$A$6:$A$196,0))</f>
        <v/>
      </c>
      <c r="X46" s="260">
        <f>INDEX('Entrada de Dados'!U$6:U$196,MATCH($C46,'Entrada de Dados'!$A$6:$A$196,0))</f>
        <v/>
      </c>
    </row>
    <row r="47" ht="15" customHeight="1" s="163">
      <c r="A47" s="258" t="n">
        <v>10</v>
      </c>
      <c r="B47" s="258" t="n"/>
      <c r="C47" s="258" t="inlineStr">
        <is>
          <t>1095</t>
        </is>
      </c>
      <c r="D47" s="259">
        <f>HYPERLINK("#'ESCOLA MUNICIPAL PROFESSOR JOSE'!A1","ESCOLA MUNICIPAL PROFESSOR JOSEMAR CONTAGE")</f>
        <v/>
      </c>
      <c r="E47" s="259" t="inlineStr">
        <is>
          <t>CORRÊAS</t>
        </is>
      </c>
      <c r="F47" s="260">
        <f>INDEX('Entrada de Dados'!C$6:C$196,MATCH($C47,'Entrada de Dados'!$A$6:$A$196,0))</f>
        <v/>
      </c>
      <c r="G47" s="260">
        <f>INDEX('Entrada de Dados'!D$6:D$196,MATCH($C47,'Entrada de Dados'!$A$6:$A$196,0))</f>
        <v/>
      </c>
      <c r="H47" s="260">
        <f>INDEX('Entrada de Dados'!E$6:E$196,MATCH($C47,'Entrada de Dados'!$A$6:$A$196,0))</f>
        <v/>
      </c>
      <c r="I47" s="260">
        <f>INDEX('Entrada de Dados'!F$6:F$196,MATCH($C47,'Entrada de Dados'!$A$6:$A$196,0))</f>
        <v/>
      </c>
      <c r="J47" s="260">
        <f>INDEX('Entrada de Dados'!G$6:G$196,MATCH($C47,'Entrada de Dados'!$A$6:$A$196,0))</f>
        <v/>
      </c>
      <c r="K47" s="260">
        <f>INDEX('Entrada de Dados'!H$6:H$196,MATCH($C47,'Entrada de Dados'!$A$6:$A$196,0))</f>
        <v/>
      </c>
      <c r="L47" s="260">
        <f>INDEX('Entrada de Dados'!I$6:I$196,MATCH($C47,'Entrada de Dados'!$A$6:$A$196,0))</f>
        <v/>
      </c>
      <c r="M47" s="260">
        <f>INDEX('Entrada de Dados'!J$6:J$196,MATCH($C47,'Entrada de Dados'!$A$6:$A$196,0))</f>
        <v/>
      </c>
      <c r="N47" s="260">
        <f>INDEX('Entrada de Dados'!K$6:K$196,MATCH($C47,'Entrada de Dados'!$A$6:$A$196,0))</f>
        <v/>
      </c>
      <c r="O47" s="260">
        <f>INDEX('Entrada de Dados'!L$6:L$196,MATCH($C47,'Entrada de Dados'!$A$6:$A$196,0))</f>
        <v/>
      </c>
      <c r="P47" s="260">
        <f>INDEX('Entrada de Dados'!M$6:M$196,MATCH($C47,'Entrada de Dados'!$A$6:$A$196,0))</f>
        <v/>
      </c>
      <c r="Q47" s="260">
        <f>INDEX('Entrada de Dados'!N$6:N$196,MATCH($C47,'Entrada de Dados'!$A$6:$A$196,0))</f>
        <v/>
      </c>
      <c r="R47" s="260">
        <f>INDEX('Entrada de Dados'!O$6:O$196,MATCH($C47,'Entrada de Dados'!$A$6:$A$196,0))</f>
        <v/>
      </c>
      <c r="S47" s="260">
        <f>INDEX('Entrada de Dados'!P$6:P$196,MATCH($C47,'Entrada de Dados'!$A$6:$A$196,0))</f>
        <v/>
      </c>
      <c r="T47" s="260">
        <f>INDEX('Entrada de Dados'!Q$6:Q$196,MATCH($C47,'Entrada de Dados'!$A$6:$A$196,0))</f>
        <v/>
      </c>
      <c r="U47" s="260">
        <f>INDEX('Entrada de Dados'!R$6:R$196,MATCH($C47,'Entrada de Dados'!$A$6:$A$196,0))</f>
        <v/>
      </c>
      <c r="V47" s="260">
        <f>INDEX('Entrada de Dados'!S$6:S$196,MATCH($C47,'Entrada de Dados'!$A$6:$A$196,0))</f>
        <v/>
      </c>
      <c r="W47" s="260">
        <f>INDEX('Entrada de Dados'!T$6:T$196,MATCH($C47,'Entrada de Dados'!$A$6:$A$196,0))</f>
        <v/>
      </c>
      <c r="X47" s="260">
        <f>INDEX('Entrada de Dados'!U$6:U$196,MATCH($C47,'Entrada de Dados'!$A$6:$A$196,0))</f>
        <v/>
      </c>
    </row>
    <row r="48" ht="15" customHeight="1" s="163">
      <c r="A48" s="258" t="n">
        <v>11</v>
      </c>
      <c r="B48" s="258" t="n"/>
      <c r="C48" s="258" t="inlineStr">
        <is>
          <t>1036</t>
        </is>
      </c>
      <c r="D48" s="259">
        <f>HYPERLINK("#'E M MARIETA GONÇALVES'!A1","E M MARIETA GONÇALVES")</f>
        <v/>
      </c>
      <c r="E48" s="259" t="inlineStr">
        <is>
          <t>CORRÊAS</t>
        </is>
      </c>
      <c r="F48" s="260">
        <f>INDEX('Entrada de Dados'!C$6:C$196,MATCH($C48,'Entrada de Dados'!$A$6:$A$196,0))</f>
        <v/>
      </c>
      <c r="G48" s="260">
        <f>INDEX('Entrada de Dados'!D$6:D$196,MATCH($C48,'Entrada de Dados'!$A$6:$A$196,0))</f>
        <v/>
      </c>
      <c r="H48" s="260">
        <f>INDEX('Entrada de Dados'!E$6:E$196,MATCH($C48,'Entrada de Dados'!$A$6:$A$196,0))</f>
        <v/>
      </c>
      <c r="I48" s="260">
        <f>INDEX('Entrada de Dados'!F$6:F$196,MATCH($C48,'Entrada de Dados'!$A$6:$A$196,0))</f>
        <v/>
      </c>
      <c r="J48" s="260">
        <f>INDEX('Entrada de Dados'!G$6:G$196,MATCH($C48,'Entrada de Dados'!$A$6:$A$196,0))</f>
        <v/>
      </c>
      <c r="K48" s="260">
        <f>INDEX('Entrada de Dados'!H$6:H$196,MATCH($C48,'Entrada de Dados'!$A$6:$A$196,0))</f>
        <v/>
      </c>
      <c r="L48" s="260">
        <f>INDEX('Entrada de Dados'!I$6:I$196,MATCH($C48,'Entrada de Dados'!$A$6:$A$196,0))</f>
        <v/>
      </c>
      <c r="M48" s="260">
        <f>INDEX('Entrada de Dados'!J$6:J$196,MATCH($C48,'Entrada de Dados'!$A$6:$A$196,0))</f>
        <v/>
      </c>
      <c r="N48" s="260">
        <f>INDEX('Entrada de Dados'!K$6:K$196,MATCH($C48,'Entrada de Dados'!$A$6:$A$196,0))</f>
        <v/>
      </c>
      <c r="O48" s="260">
        <f>INDEX('Entrada de Dados'!L$6:L$196,MATCH($C48,'Entrada de Dados'!$A$6:$A$196,0))</f>
        <v/>
      </c>
      <c r="P48" s="260">
        <f>INDEX('Entrada de Dados'!M$6:M$196,MATCH($C48,'Entrada de Dados'!$A$6:$A$196,0))</f>
        <v/>
      </c>
      <c r="Q48" s="260">
        <f>INDEX('Entrada de Dados'!N$6:N$196,MATCH($C48,'Entrada de Dados'!$A$6:$A$196,0))</f>
        <v/>
      </c>
      <c r="R48" s="260">
        <f>INDEX('Entrada de Dados'!O$6:O$196,MATCH($C48,'Entrada de Dados'!$A$6:$A$196,0))</f>
        <v/>
      </c>
      <c r="S48" s="260">
        <f>INDEX('Entrada de Dados'!P$6:P$196,MATCH($C48,'Entrada de Dados'!$A$6:$A$196,0))</f>
        <v/>
      </c>
      <c r="T48" s="260">
        <f>INDEX('Entrada de Dados'!Q$6:Q$196,MATCH($C48,'Entrada de Dados'!$A$6:$A$196,0))</f>
        <v/>
      </c>
      <c r="U48" s="260">
        <f>INDEX('Entrada de Dados'!R$6:R$196,MATCH($C48,'Entrada de Dados'!$A$6:$A$196,0))</f>
        <v/>
      </c>
      <c r="V48" s="260">
        <f>INDEX('Entrada de Dados'!S$6:S$196,MATCH($C48,'Entrada de Dados'!$A$6:$A$196,0))</f>
        <v/>
      </c>
      <c r="W48" s="260">
        <f>INDEX('Entrada de Dados'!T$6:T$196,MATCH($C48,'Entrada de Dados'!$A$6:$A$196,0))</f>
        <v/>
      </c>
      <c r="X48" s="260">
        <f>INDEX('Entrada de Dados'!U$6:U$196,MATCH($C48,'Entrada de Dados'!$A$6:$A$196,0))</f>
        <v/>
      </c>
    </row>
    <row r="49" ht="15" customHeight="1" s="163">
      <c r="A49" s="258" t="n">
        <v>12</v>
      </c>
      <c r="B49" s="258" t="n"/>
      <c r="C49" s="258" t="inlineStr">
        <is>
          <t>3081</t>
        </is>
      </c>
      <c r="D49" s="259">
        <f>HYPERLINK("#'CEI NOSSA SENHORA DA GLÓRIA'!A1","CEI NOSSA SENHORA DA GLÓRIA")</f>
        <v/>
      </c>
      <c r="E49" s="259" t="inlineStr">
        <is>
          <t>CORRÊAS</t>
        </is>
      </c>
      <c r="F49" s="260">
        <f>INDEX('Entrada de Dados'!C$6:C$196,MATCH($C49,'Entrada de Dados'!$A$6:$A$196,0))</f>
        <v/>
      </c>
      <c r="G49" s="260">
        <f>INDEX('Entrada de Dados'!D$6:D$196,MATCH($C49,'Entrada de Dados'!$A$6:$A$196,0))</f>
        <v/>
      </c>
      <c r="H49" s="260">
        <f>INDEX('Entrada de Dados'!E$6:E$196,MATCH($C49,'Entrada de Dados'!$A$6:$A$196,0))</f>
        <v/>
      </c>
      <c r="I49" s="260">
        <f>INDEX('Entrada de Dados'!F$6:F$196,MATCH($C49,'Entrada de Dados'!$A$6:$A$196,0))</f>
        <v/>
      </c>
      <c r="J49" s="260">
        <f>INDEX('Entrada de Dados'!G$6:G$196,MATCH($C49,'Entrada de Dados'!$A$6:$A$196,0))</f>
        <v/>
      </c>
      <c r="K49" s="260">
        <f>INDEX('Entrada de Dados'!H$6:H$196,MATCH($C49,'Entrada de Dados'!$A$6:$A$196,0))</f>
        <v/>
      </c>
      <c r="L49" s="260">
        <f>INDEX('Entrada de Dados'!I$6:I$196,MATCH($C49,'Entrada de Dados'!$A$6:$A$196,0))</f>
        <v/>
      </c>
      <c r="M49" s="260">
        <f>INDEX('Entrada de Dados'!J$6:J$196,MATCH($C49,'Entrada de Dados'!$A$6:$A$196,0))</f>
        <v/>
      </c>
      <c r="N49" s="260">
        <f>INDEX('Entrada de Dados'!K$6:K$196,MATCH($C49,'Entrada de Dados'!$A$6:$A$196,0))</f>
        <v/>
      </c>
      <c r="O49" s="260">
        <f>INDEX('Entrada de Dados'!L$6:L$196,MATCH($C49,'Entrada de Dados'!$A$6:$A$196,0))</f>
        <v/>
      </c>
      <c r="P49" s="260">
        <f>INDEX('Entrada de Dados'!M$6:M$196,MATCH($C49,'Entrada de Dados'!$A$6:$A$196,0))</f>
        <v/>
      </c>
      <c r="Q49" s="260">
        <f>INDEX('Entrada de Dados'!N$6:N$196,MATCH($C49,'Entrada de Dados'!$A$6:$A$196,0))</f>
        <v/>
      </c>
      <c r="R49" s="260">
        <f>INDEX('Entrada de Dados'!O$6:O$196,MATCH($C49,'Entrada de Dados'!$A$6:$A$196,0))</f>
        <v/>
      </c>
      <c r="S49" s="260">
        <f>INDEX('Entrada de Dados'!P$6:P$196,MATCH($C49,'Entrada de Dados'!$A$6:$A$196,0))</f>
        <v/>
      </c>
      <c r="T49" s="260">
        <f>INDEX('Entrada de Dados'!Q$6:Q$196,MATCH($C49,'Entrada de Dados'!$A$6:$A$196,0))</f>
        <v/>
      </c>
      <c r="U49" s="260">
        <f>INDEX('Entrada de Dados'!R$6:R$196,MATCH($C49,'Entrada de Dados'!$A$6:$A$196,0))</f>
        <v/>
      </c>
      <c r="V49" s="260">
        <f>INDEX('Entrada de Dados'!S$6:S$196,MATCH($C49,'Entrada de Dados'!$A$6:$A$196,0))</f>
        <v/>
      </c>
      <c r="W49" s="260">
        <f>INDEX('Entrada de Dados'!T$6:T$196,MATCH($C49,'Entrada de Dados'!$A$6:$A$196,0))</f>
        <v/>
      </c>
      <c r="X49" s="260">
        <f>INDEX('Entrada de Dados'!U$6:U$196,MATCH($C49,'Entrada de Dados'!$A$6:$A$196,0))</f>
        <v/>
      </c>
    </row>
    <row r="50" ht="15" customHeight="1" s="163">
      <c r="A50" s="258" t="n">
        <v>13</v>
      </c>
      <c r="B50" s="258" t="n"/>
      <c r="C50" s="258" t="inlineStr">
        <is>
          <t>1110</t>
        </is>
      </c>
      <c r="D50" s="259">
        <f>HYPERLINK("#'E M HERCÍLIA HENRIQUES MORET'!A1","E M HERCÍLIA HENRIQUES MORET")</f>
        <v/>
      </c>
      <c r="E50" s="259" t="inlineStr">
        <is>
          <t>CORRÊAS</t>
        </is>
      </c>
      <c r="F50" s="260">
        <f>INDEX('Entrada de Dados'!C$6:C$196,MATCH($C50,'Entrada de Dados'!$A$6:$A$196,0))</f>
        <v/>
      </c>
      <c r="G50" s="260">
        <f>INDEX('Entrada de Dados'!D$6:D$196,MATCH($C50,'Entrada de Dados'!$A$6:$A$196,0))</f>
        <v/>
      </c>
      <c r="H50" s="260">
        <f>INDEX('Entrada de Dados'!E$6:E$196,MATCH($C50,'Entrada de Dados'!$A$6:$A$196,0))</f>
        <v/>
      </c>
      <c r="I50" s="260">
        <f>INDEX('Entrada de Dados'!F$6:F$196,MATCH($C50,'Entrada de Dados'!$A$6:$A$196,0))</f>
        <v/>
      </c>
      <c r="J50" s="260">
        <f>INDEX('Entrada de Dados'!G$6:G$196,MATCH($C50,'Entrada de Dados'!$A$6:$A$196,0))</f>
        <v/>
      </c>
      <c r="K50" s="260">
        <f>INDEX('Entrada de Dados'!H$6:H$196,MATCH($C50,'Entrada de Dados'!$A$6:$A$196,0))</f>
        <v/>
      </c>
      <c r="L50" s="260">
        <f>INDEX('Entrada de Dados'!I$6:I$196,MATCH($C50,'Entrada de Dados'!$A$6:$A$196,0))</f>
        <v/>
      </c>
      <c r="M50" s="260">
        <f>INDEX('Entrada de Dados'!J$6:J$196,MATCH($C50,'Entrada de Dados'!$A$6:$A$196,0))</f>
        <v/>
      </c>
      <c r="N50" s="260">
        <f>INDEX('Entrada de Dados'!K$6:K$196,MATCH($C50,'Entrada de Dados'!$A$6:$A$196,0))</f>
        <v/>
      </c>
      <c r="O50" s="260">
        <f>INDEX('Entrada de Dados'!L$6:L$196,MATCH($C50,'Entrada de Dados'!$A$6:$A$196,0))</f>
        <v/>
      </c>
      <c r="P50" s="260">
        <f>INDEX('Entrada de Dados'!M$6:M$196,MATCH($C50,'Entrada de Dados'!$A$6:$A$196,0))</f>
        <v/>
      </c>
      <c r="Q50" s="260">
        <f>INDEX('Entrada de Dados'!N$6:N$196,MATCH($C50,'Entrada de Dados'!$A$6:$A$196,0))</f>
        <v/>
      </c>
      <c r="R50" s="260">
        <f>INDEX('Entrada de Dados'!O$6:O$196,MATCH($C50,'Entrada de Dados'!$A$6:$A$196,0))</f>
        <v/>
      </c>
      <c r="S50" s="260">
        <f>INDEX('Entrada de Dados'!P$6:P$196,MATCH($C50,'Entrada de Dados'!$A$6:$A$196,0))</f>
        <v/>
      </c>
      <c r="T50" s="260">
        <f>INDEX('Entrada de Dados'!Q$6:Q$196,MATCH($C50,'Entrada de Dados'!$A$6:$A$196,0))</f>
        <v/>
      </c>
      <c r="U50" s="260">
        <f>INDEX('Entrada de Dados'!R$6:R$196,MATCH($C50,'Entrada de Dados'!$A$6:$A$196,0))</f>
        <v/>
      </c>
      <c r="V50" s="260">
        <f>INDEX('Entrada de Dados'!S$6:S$196,MATCH($C50,'Entrada de Dados'!$A$6:$A$196,0))</f>
        <v/>
      </c>
      <c r="W50" s="260">
        <f>INDEX('Entrada de Dados'!T$6:T$196,MATCH($C50,'Entrada de Dados'!$A$6:$A$196,0))</f>
        <v/>
      </c>
      <c r="X50" s="260">
        <f>INDEX('Entrada de Dados'!U$6:U$196,MATCH($C50,'Entrada de Dados'!$A$6:$A$196,0))</f>
        <v/>
      </c>
    </row>
    <row r="51" ht="15" customHeight="1" s="163">
      <c r="A51" s="258" t="n">
        <v>14</v>
      </c>
      <c r="B51" s="258" t="n"/>
      <c r="C51" s="258" t="inlineStr">
        <is>
          <t>1034</t>
        </is>
      </c>
      <c r="D51" s="259">
        <f>HYPERLINK("#'E M MAGDALENA TAGLIAFERRO'!A1","E M MAGDALENA TAGLIAFERRO")</f>
        <v/>
      </c>
      <c r="E51" s="259" t="inlineStr">
        <is>
          <t>CASTELO SÃO MANOEL</t>
        </is>
      </c>
      <c r="F51" s="260">
        <f>INDEX('Entrada de Dados'!C$6:C$196,MATCH($C51,'Entrada de Dados'!$A$6:$A$196,0))</f>
        <v/>
      </c>
      <c r="G51" s="260">
        <f>INDEX('Entrada de Dados'!D$6:D$196,MATCH($C51,'Entrada de Dados'!$A$6:$A$196,0))</f>
        <v/>
      </c>
      <c r="H51" s="260">
        <f>INDEX('Entrada de Dados'!E$6:E$196,MATCH($C51,'Entrada de Dados'!$A$6:$A$196,0))</f>
        <v/>
      </c>
      <c r="I51" s="260">
        <f>INDEX('Entrada de Dados'!F$6:F$196,MATCH($C51,'Entrada de Dados'!$A$6:$A$196,0))</f>
        <v/>
      </c>
      <c r="J51" s="260">
        <f>INDEX('Entrada de Dados'!G$6:G$196,MATCH($C51,'Entrada de Dados'!$A$6:$A$196,0))</f>
        <v/>
      </c>
      <c r="K51" s="260">
        <f>INDEX('Entrada de Dados'!H$6:H$196,MATCH($C51,'Entrada de Dados'!$A$6:$A$196,0))</f>
        <v/>
      </c>
      <c r="L51" s="260">
        <f>INDEX('Entrada de Dados'!I$6:I$196,MATCH($C51,'Entrada de Dados'!$A$6:$A$196,0))</f>
        <v/>
      </c>
      <c r="M51" s="260">
        <f>INDEX('Entrada de Dados'!J$6:J$196,MATCH($C51,'Entrada de Dados'!$A$6:$A$196,0))</f>
        <v/>
      </c>
      <c r="N51" s="260">
        <f>INDEX('Entrada de Dados'!K$6:K$196,MATCH($C51,'Entrada de Dados'!$A$6:$A$196,0))</f>
        <v/>
      </c>
      <c r="O51" s="260">
        <f>INDEX('Entrada de Dados'!L$6:L$196,MATCH($C51,'Entrada de Dados'!$A$6:$A$196,0))</f>
        <v/>
      </c>
      <c r="P51" s="260">
        <f>INDEX('Entrada de Dados'!M$6:M$196,MATCH($C51,'Entrada de Dados'!$A$6:$A$196,0))</f>
        <v/>
      </c>
      <c r="Q51" s="260">
        <f>INDEX('Entrada de Dados'!N$6:N$196,MATCH($C51,'Entrada de Dados'!$A$6:$A$196,0))</f>
        <v/>
      </c>
      <c r="R51" s="260">
        <f>INDEX('Entrada de Dados'!O$6:O$196,MATCH($C51,'Entrada de Dados'!$A$6:$A$196,0))</f>
        <v/>
      </c>
      <c r="S51" s="260">
        <f>INDEX('Entrada de Dados'!P$6:P$196,MATCH($C51,'Entrada de Dados'!$A$6:$A$196,0))</f>
        <v/>
      </c>
      <c r="T51" s="260">
        <f>INDEX('Entrada de Dados'!Q$6:Q$196,MATCH($C51,'Entrada de Dados'!$A$6:$A$196,0))</f>
        <v/>
      </c>
      <c r="U51" s="260">
        <f>INDEX('Entrada de Dados'!R$6:R$196,MATCH($C51,'Entrada de Dados'!$A$6:$A$196,0))</f>
        <v/>
      </c>
      <c r="V51" s="260">
        <f>INDEX('Entrada de Dados'!S$6:S$196,MATCH($C51,'Entrada de Dados'!$A$6:$A$196,0))</f>
        <v/>
      </c>
      <c r="W51" s="260">
        <f>INDEX('Entrada de Dados'!T$6:T$196,MATCH($C51,'Entrada de Dados'!$A$6:$A$196,0))</f>
        <v/>
      </c>
      <c r="X51" s="260">
        <f>INDEX('Entrada de Dados'!U$6:U$196,MATCH($C51,'Entrada de Dados'!$A$6:$A$196,0))</f>
        <v/>
      </c>
    </row>
    <row r="52" ht="15" customHeight="1" s="163">
      <c r="A52" s="258" t="n">
        <v>15</v>
      </c>
      <c r="B52" s="258" t="n"/>
      <c r="C52" s="258" t="inlineStr">
        <is>
          <t>2049</t>
        </is>
      </c>
      <c r="D52" s="259">
        <f>HYPERLINK("#'ESCOLA SÃO JOSÉ DO CAETITU'!A1","ESCOLA SÃO JOSÉ DO CAETITU")</f>
        <v/>
      </c>
      <c r="E52" s="259" t="inlineStr">
        <is>
          <t>CASTELO SÃO MANOEL</t>
        </is>
      </c>
      <c r="F52" s="260">
        <f>INDEX('Entrada de Dados'!C$6:C$196,MATCH($C52,'Entrada de Dados'!$A$6:$A$196,0))</f>
        <v/>
      </c>
      <c r="G52" s="260">
        <f>INDEX('Entrada de Dados'!D$6:D$196,MATCH($C52,'Entrada de Dados'!$A$6:$A$196,0))</f>
        <v/>
      </c>
      <c r="H52" s="260">
        <f>INDEX('Entrada de Dados'!E$6:E$196,MATCH($C52,'Entrada de Dados'!$A$6:$A$196,0))</f>
        <v/>
      </c>
      <c r="I52" s="260">
        <f>INDEX('Entrada de Dados'!F$6:F$196,MATCH($C52,'Entrada de Dados'!$A$6:$A$196,0))</f>
        <v/>
      </c>
      <c r="J52" s="260">
        <f>INDEX('Entrada de Dados'!G$6:G$196,MATCH($C52,'Entrada de Dados'!$A$6:$A$196,0))</f>
        <v/>
      </c>
      <c r="K52" s="260">
        <f>INDEX('Entrada de Dados'!H$6:H$196,MATCH($C52,'Entrada de Dados'!$A$6:$A$196,0))</f>
        <v/>
      </c>
      <c r="L52" s="260">
        <f>INDEX('Entrada de Dados'!I$6:I$196,MATCH($C52,'Entrada de Dados'!$A$6:$A$196,0))</f>
        <v/>
      </c>
      <c r="M52" s="260">
        <f>INDEX('Entrada de Dados'!J$6:J$196,MATCH($C52,'Entrada de Dados'!$A$6:$A$196,0))</f>
        <v/>
      </c>
      <c r="N52" s="260">
        <f>INDEX('Entrada de Dados'!K$6:K$196,MATCH($C52,'Entrada de Dados'!$A$6:$A$196,0))</f>
        <v/>
      </c>
      <c r="O52" s="260">
        <f>INDEX('Entrada de Dados'!L$6:L$196,MATCH($C52,'Entrada de Dados'!$A$6:$A$196,0))</f>
        <v/>
      </c>
      <c r="P52" s="260">
        <f>INDEX('Entrada de Dados'!M$6:M$196,MATCH($C52,'Entrada de Dados'!$A$6:$A$196,0))</f>
        <v/>
      </c>
      <c r="Q52" s="260">
        <f>INDEX('Entrada de Dados'!N$6:N$196,MATCH($C52,'Entrada de Dados'!$A$6:$A$196,0))</f>
        <v/>
      </c>
      <c r="R52" s="260">
        <f>INDEX('Entrada de Dados'!O$6:O$196,MATCH($C52,'Entrada de Dados'!$A$6:$A$196,0))</f>
        <v/>
      </c>
      <c r="S52" s="260">
        <f>INDEX('Entrada de Dados'!P$6:P$196,MATCH($C52,'Entrada de Dados'!$A$6:$A$196,0))</f>
        <v/>
      </c>
      <c r="T52" s="260">
        <f>INDEX('Entrada de Dados'!Q$6:Q$196,MATCH($C52,'Entrada de Dados'!$A$6:$A$196,0))</f>
        <v/>
      </c>
      <c r="U52" s="260">
        <f>INDEX('Entrada de Dados'!R$6:R$196,MATCH($C52,'Entrada de Dados'!$A$6:$A$196,0))</f>
        <v/>
      </c>
      <c r="V52" s="260">
        <f>INDEX('Entrada de Dados'!S$6:S$196,MATCH($C52,'Entrada de Dados'!$A$6:$A$196,0))</f>
        <v/>
      </c>
      <c r="W52" s="260">
        <f>INDEX('Entrada de Dados'!T$6:T$196,MATCH($C52,'Entrada de Dados'!$A$6:$A$196,0))</f>
        <v/>
      </c>
      <c r="X52" s="260">
        <f>INDEX('Entrada de Dados'!U$6:U$196,MATCH($C52,'Entrada de Dados'!$A$6:$A$196,0))</f>
        <v/>
      </c>
    </row>
    <row r="53" ht="15" customHeight="1" s="163">
      <c r="A53" s="258" t="n">
        <v>16</v>
      </c>
      <c r="B53" s="258" t="n"/>
      <c r="C53" s="258" t="inlineStr">
        <is>
          <t>4019</t>
        </is>
      </c>
      <c r="D53" s="259">
        <f>HYPERLINK("#'CRECHE-ESCOLA CASTELO SÃO MANOE'!A1","CRECHE-ESCOLA CASTELO SÃO MANOEL")</f>
        <v/>
      </c>
      <c r="E53" s="259" t="inlineStr">
        <is>
          <t>CASTELO SÃO MANOEL</t>
        </is>
      </c>
      <c r="F53" s="260">
        <f>INDEX('Entrada de Dados'!C$6:C$196,MATCH($C53,'Entrada de Dados'!$A$6:$A$196,0))</f>
        <v/>
      </c>
      <c r="G53" s="260">
        <f>INDEX('Entrada de Dados'!D$6:D$196,MATCH($C53,'Entrada de Dados'!$A$6:$A$196,0))</f>
        <v/>
      </c>
      <c r="H53" s="260">
        <f>INDEX('Entrada de Dados'!E$6:E$196,MATCH($C53,'Entrada de Dados'!$A$6:$A$196,0))</f>
        <v/>
      </c>
      <c r="I53" s="260">
        <f>INDEX('Entrada de Dados'!F$6:F$196,MATCH($C53,'Entrada de Dados'!$A$6:$A$196,0))</f>
        <v/>
      </c>
      <c r="J53" s="260">
        <f>INDEX('Entrada de Dados'!G$6:G$196,MATCH($C53,'Entrada de Dados'!$A$6:$A$196,0))</f>
        <v/>
      </c>
      <c r="K53" s="260">
        <f>INDEX('Entrada de Dados'!H$6:H$196,MATCH($C53,'Entrada de Dados'!$A$6:$A$196,0))</f>
        <v/>
      </c>
      <c r="L53" s="260">
        <f>INDEX('Entrada de Dados'!I$6:I$196,MATCH($C53,'Entrada de Dados'!$A$6:$A$196,0))</f>
        <v/>
      </c>
      <c r="M53" s="260">
        <f>INDEX('Entrada de Dados'!J$6:J$196,MATCH($C53,'Entrada de Dados'!$A$6:$A$196,0))</f>
        <v/>
      </c>
      <c r="N53" s="260">
        <f>INDEX('Entrada de Dados'!K$6:K$196,MATCH($C53,'Entrada de Dados'!$A$6:$A$196,0))</f>
        <v/>
      </c>
      <c r="O53" s="260">
        <f>INDEX('Entrada de Dados'!L$6:L$196,MATCH($C53,'Entrada de Dados'!$A$6:$A$196,0))</f>
        <v/>
      </c>
      <c r="P53" s="260">
        <f>INDEX('Entrada de Dados'!M$6:M$196,MATCH($C53,'Entrada de Dados'!$A$6:$A$196,0))</f>
        <v/>
      </c>
      <c r="Q53" s="260">
        <f>INDEX('Entrada de Dados'!N$6:N$196,MATCH($C53,'Entrada de Dados'!$A$6:$A$196,0))</f>
        <v/>
      </c>
      <c r="R53" s="260">
        <f>INDEX('Entrada de Dados'!O$6:O$196,MATCH($C53,'Entrada de Dados'!$A$6:$A$196,0))</f>
        <v/>
      </c>
      <c r="S53" s="260">
        <f>INDEX('Entrada de Dados'!P$6:P$196,MATCH($C53,'Entrada de Dados'!$A$6:$A$196,0))</f>
        <v/>
      </c>
      <c r="T53" s="260">
        <f>INDEX('Entrada de Dados'!Q$6:Q$196,MATCH($C53,'Entrada de Dados'!$A$6:$A$196,0))</f>
        <v/>
      </c>
      <c r="U53" s="260">
        <f>INDEX('Entrada de Dados'!R$6:R$196,MATCH($C53,'Entrada de Dados'!$A$6:$A$196,0))</f>
        <v/>
      </c>
      <c r="V53" s="260">
        <f>INDEX('Entrada de Dados'!S$6:S$196,MATCH($C53,'Entrada de Dados'!$A$6:$A$196,0))</f>
        <v/>
      </c>
      <c r="W53" s="260">
        <f>INDEX('Entrada de Dados'!T$6:T$196,MATCH($C53,'Entrada de Dados'!$A$6:$A$196,0))</f>
        <v/>
      </c>
      <c r="X53" s="260">
        <f>INDEX('Entrada de Dados'!U$6:U$196,MATCH($C53,'Entrada de Dados'!$A$6:$A$196,0))</f>
        <v/>
      </c>
    </row>
    <row r="54" ht="21.75" customHeight="1" s="163">
      <c r="A54" s="265" t="inlineStr">
        <is>
          <t>Peso previsto:</t>
        </is>
      </c>
      <c r="C54" s="266">
        <f>SUM(F38:F53)+SUM(G38:G53)+SUM(H38:H53)+SUM(I38:I53)+SUM(J38:J53)+SUM(K38:K53)+SUM(L38:L53)+SUM(M38:M53)+SUM(N38:N53)+SUM(O38:O53)+SUM(P38:P53)+SUM(Q38:Q53)+SUM(R38:R53)+SUM(S38:S53)+SUM(T38:T53)+SUM(U38:U53)+SUM(W38:W53)+SUM(X38:X53)</f>
        <v/>
      </c>
      <c r="D54" s="265" t="inlineStr">
        <is>
          <t>Peso embarcado (kg):</t>
        </is>
      </c>
      <c r="F54" s="267" t="n"/>
      <c r="G54" s="265" t="inlineStr">
        <is>
          <t>Veículo:</t>
        </is>
      </c>
      <c r="I54" s="267" t="n"/>
      <c r="J54" s="268" t="n"/>
      <c r="K54" s="265" t="inlineStr">
        <is>
          <t>Motorista:</t>
        </is>
      </c>
      <c r="M54" s="267" t="n"/>
      <c r="N54" s="269" t="n"/>
      <c r="O54" s="269" t="n"/>
      <c r="P54" s="269" t="n"/>
      <c r="Q54" s="269" t="n"/>
      <c r="R54" s="269" t="n"/>
      <c r="S54" s="269" t="n"/>
      <c r="T54" s="269" t="n"/>
      <c r="U54" s="269" t="n"/>
      <c r="V54" s="269" t="n"/>
      <c r="W54" s="269" t="n"/>
      <c r="X54" s="268" t="n"/>
    </row>
    <row r="56" ht="19.5" customHeight="1" s="163">
      <c r="A56" s="186" t="inlineStr">
        <is>
          <t>ROTA S4 — CARANGOLA - JARDIM SALVADOR - SAMAMBAIA · KOMBI · 12 escolas · 12 paradas físicas</t>
        </is>
      </c>
    </row>
    <row r="57" ht="25.5" customHeight="1" s="163">
      <c r="A57" s="256" t="inlineStr">
        <is>
          <t>Sequência-base: Galpão Itaipava &gt; Carangola &gt; Vale do Carangola &gt; Jardim Salvador &gt; Samambaia &gt; Galpão   Atenção: Acessos residenciais e de morro. Priorizar veículo curto e confirmar local de giro.</t>
        </is>
      </c>
    </row>
    <row r="58" ht="30" customHeight="1" s="163">
      <c r="A58" s="257" t="inlineStr">
        <is>
          <t>PAR.</t>
        </is>
      </c>
      <c r="B58" s="257" t="inlineStr">
        <is>
          <t>SUB</t>
        </is>
      </c>
      <c r="C58" s="257" t="inlineStr">
        <is>
          <t>CÓDIGO</t>
        </is>
      </c>
      <c r="D58" s="257" t="inlineStr">
        <is>
          <t>ESCOLA</t>
        </is>
      </c>
      <c r="E58" s="257" t="inlineStr">
        <is>
          <t>BAIRRO/CORREDOR</t>
        </is>
      </c>
      <c r="F58" s="257" t="inlineStr">
        <is>
          <t>Abacate</t>
        </is>
      </c>
      <c r="G58" s="257" t="inlineStr">
        <is>
          <t>Abobrinha</t>
        </is>
      </c>
      <c r="H58" s="257" t="inlineStr">
        <is>
          <t>Agrião</t>
        </is>
      </c>
      <c r="I58" s="257" t="inlineStr">
        <is>
          <t>Alface lisa</t>
        </is>
      </c>
      <c r="J58" s="257" t="inlineStr">
        <is>
          <t>Banana prata</t>
        </is>
      </c>
      <c r="K58" s="257" t="inlineStr">
        <is>
          <t>Batata inglesa</t>
        </is>
      </c>
      <c r="L58" s="257" t="inlineStr">
        <is>
          <t>Beterraba</t>
        </is>
      </c>
      <c r="M58" s="257" t="inlineStr">
        <is>
          <t>Brócolis</t>
        </is>
      </c>
      <c r="N58" s="257" t="inlineStr">
        <is>
          <t>Cenoura</t>
        </is>
      </c>
      <c r="O58" s="257" t="inlineStr">
        <is>
          <t>Cheiro verde</t>
        </is>
      </c>
      <c r="P58" s="257" t="inlineStr">
        <is>
          <t>Chuchu</t>
        </is>
      </c>
      <c r="Q58" s="257" t="inlineStr">
        <is>
          <t>Couve manteiga</t>
        </is>
      </c>
      <c r="R58" s="257" t="inlineStr">
        <is>
          <t>Couve-flor</t>
        </is>
      </c>
      <c r="S58" s="257" t="inlineStr">
        <is>
          <t>Espinafre</t>
        </is>
      </c>
      <c r="T58" s="257" t="inlineStr">
        <is>
          <t>Maçã gala</t>
        </is>
      </c>
      <c r="U58" s="257" t="inlineStr">
        <is>
          <t>Mel</t>
        </is>
      </c>
      <c r="V58" s="257" t="inlineStr">
        <is>
          <t>Ovos (dz)</t>
        </is>
      </c>
      <c r="W58" s="257" t="inlineStr">
        <is>
          <t>Repolho</t>
        </is>
      </c>
      <c r="X58" s="257" t="inlineStr">
        <is>
          <t>Tangerina ponkan</t>
        </is>
      </c>
    </row>
    <row r="59" ht="15" customHeight="1" s="163">
      <c r="A59" s="258" t="n">
        <v>1</v>
      </c>
      <c r="B59" s="258" t="n"/>
      <c r="C59" s="258" t="inlineStr">
        <is>
          <t>1100</t>
        </is>
      </c>
      <c r="D59" s="259">
        <f>HYPERLINK("#'E M DOM MANOEL PEDRO DA CUNHA C'!A1","E M DOM MANOEL PEDRO DA CUNHA CINTRA")</f>
        <v/>
      </c>
      <c r="E59" s="259" t="inlineStr">
        <is>
          <t>CARANGOLA</t>
        </is>
      </c>
      <c r="F59" s="260">
        <f>INDEX('Entrada de Dados'!C$6:C$196,MATCH($C59,'Entrada de Dados'!$A$6:$A$196,0))</f>
        <v/>
      </c>
      <c r="G59" s="260">
        <f>INDEX('Entrada de Dados'!D$6:D$196,MATCH($C59,'Entrada de Dados'!$A$6:$A$196,0))</f>
        <v/>
      </c>
      <c r="H59" s="260">
        <f>INDEX('Entrada de Dados'!E$6:E$196,MATCH($C59,'Entrada de Dados'!$A$6:$A$196,0))</f>
        <v/>
      </c>
      <c r="I59" s="260">
        <f>INDEX('Entrada de Dados'!F$6:F$196,MATCH($C59,'Entrada de Dados'!$A$6:$A$196,0))</f>
        <v/>
      </c>
      <c r="J59" s="260">
        <f>INDEX('Entrada de Dados'!G$6:G$196,MATCH($C59,'Entrada de Dados'!$A$6:$A$196,0))</f>
        <v/>
      </c>
      <c r="K59" s="260">
        <f>INDEX('Entrada de Dados'!H$6:H$196,MATCH($C59,'Entrada de Dados'!$A$6:$A$196,0))</f>
        <v/>
      </c>
      <c r="L59" s="260">
        <f>INDEX('Entrada de Dados'!I$6:I$196,MATCH($C59,'Entrada de Dados'!$A$6:$A$196,0))</f>
        <v/>
      </c>
      <c r="M59" s="260">
        <f>INDEX('Entrada de Dados'!J$6:J$196,MATCH($C59,'Entrada de Dados'!$A$6:$A$196,0))</f>
        <v/>
      </c>
      <c r="N59" s="260">
        <f>INDEX('Entrada de Dados'!K$6:K$196,MATCH($C59,'Entrada de Dados'!$A$6:$A$196,0))</f>
        <v/>
      </c>
      <c r="O59" s="260">
        <f>INDEX('Entrada de Dados'!L$6:L$196,MATCH($C59,'Entrada de Dados'!$A$6:$A$196,0))</f>
        <v/>
      </c>
      <c r="P59" s="260">
        <f>INDEX('Entrada de Dados'!M$6:M$196,MATCH($C59,'Entrada de Dados'!$A$6:$A$196,0))</f>
        <v/>
      </c>
      <c r="Q59" s="260">
        <f>INDEX('Entrada de Dados'!N$6:N$196,MATCH($C59,'Entrada de Dados'!$A$6:$A$196,0))</f>
        <v/>
      </c>
      <c r="R59" s="260">
        <f>INDEX('Entrada de Dados'!O$6:O$196,MATCH($C59,'Entrada de Dados'!$A$6:$A$196,0))</f>
        <v/>
      </c>
      <c r="S59" s="260">
        <f>INDEX('Entrada de Dados'!P$6:P$196,MATCH($C59,'Entrada de Dados'!$A$6:$A$196,0))</f>
        <v/>
      </c>
      <c r="T59" s="260">
        <f>INDEX('Entrada de Dados'!Q$6:Q$196,MATCH($C59,'Entrada de Dados'!$A$6:$A$196,0))</f>
        <v/>
      </c>
      <c r="U59" s="260">
        <f>INDEX('Entrada de Dados'!R$6:R$196,MATCH($C59,'Entrada de Dados'!$A$6:$A$196,0))</f>
        <v/>
      </c>
      <c r="V59" s="260">
        <f>INDEX('Entrada de Dados'!S$6:S$196,MATCH($C59,'Entrada de Dados'!$A$6:$A$196,0))</f>
        <v/>
      </c>
      <c r="W59" s="260">
        <f>INDEX('Entrada de Dados'!T$6:T$196,MATCH($C59,'Entrada de Dados'!$A$6:$A$196,0))</f>
        <v/>
      </c>
      <c r="X59" s="260">
        <f>INDEX('Entrada de Dados'!U$6:U$196,MATCH($C59,'Entrada de Dados'!$A$6:$A$196,0))</f>
        <v/>
      </c>
    </row>
    <row r="60" ht="15" customHeight="1" s="163">
      <c r="A60" s="258" t="n">
        <v>2</v>
      </c>
      <c r="B60" s="258" t="n"/>
      <c r="C60" s="258" t="inlineStr">
        <is>
          <t>4007</t>
        </is>
      </c>
      <c r="D60" s="259">
        <f>HYPERLINK("#'ASSOCIAÇÃO RECREAR'!A1","ASSOCIAÇÃO RECREAR")</f>
        <v/>
      </c>
      <c r="E60" s="259" t="inlineStr">
        <is>
          <t>CARANGOLA</t>
        </is>
      </c>
      <c r="F60" s="260">
        <f>INDEX('Entrada de Dados'!C$6:C$196,MATCH($C60,'Entrada de Dados'!$A$6:$A$196,0))</f>
        <v/>
      </c>
      <c r="G60" s="260">
        <f>INDEX('Entrada de Dados'!D$6:D$196,MATCH($C60,'Entrada de Dados'!$A$6:$A$196,0))</f>
        <v/>
      </c>
      <c r="H60" s="260">
        <f>INDEX('Entrada de Dados'!E$6:E$196,MATCH($C60,'Entrada de Dados'!$A$6:$A$196,0))</f>
        <v/>
      </c>
      <c r="I60" s="260">
        <f>INDEX('Entrada de Dados'!F$6:F$196,MATCH($C60,'Entrada de Dados'!$A$6:$A$196,0))</f>
        <v/>
      </c>
      <c r="J60" s="260">
        <f>INDEX('Entrada de Dados'!G$6:G$196,MATCH($C60,'Entrada de Dados'!$A$6:$A$196,0))</f>
        <v/>
      </c>
      <c r="K60" s="260">
        <f>INDEX('Entrada de Dados'!H$6:H$196,MATCH($C60,'Entrada de Dados'!$A$6:$A$196,0))</f>
        <v/>
      </c>
      <c r="L60" s="260">
        <f>INDEX('Entrada de Dados'!I$6:I$196,MATCH($C60,'Entrada de Dados'!$A$6:$A$196,0))</f>
        <v/>
      </c>
      <c r="M60" s="260">
        <f>INDEX('Entrada de Dados'!J$6:J$196,MATCH($C60,'Entrada de Dados'!$A$6:$A$196,0))</f>
        <v/>
      </c>
      <c r="N60" s="260">
        <f>INDEX('Entrada de Dados'!K$6:K$196,MATCH($C60,'Entrada de Dados'!$A$6:$A$196,0))</f>
        <v/>
      </c>
      <c r="O60" s="260">
        <f>INDEX('Entrada de Dados'!L$6:L$196,MATCH($C60,'Entrada de Dados'!$A$6:$A$196,0))</f>
        <v/>
      </c>
      <c r="P60" s="260">
        <f>INDEX('Entrada de Dados'!M$6:M$196,MATCH($C60,'Entrada de Dados'!$A$6:$A$196,0))</f>
        <v/>
      </c>
      <c r="Q60" s="260">
        <f>INDEX('Entrada de Dados'!N$6:N$196,MATCH($C60,'Entrada de Dados'!$A$6:$A$196,0))</f>
        <v/>
      </c>
      <c r="R60" s="260">
        <f>INDEX('Entrada de Dados'!O$6:O$196,MATCH($C60,'Entrada de Dados'!$A$6:$A$196,0))</f>
        <v/>
      </c>
      <c r="S60" s="260">
        <f>INDEX('Entrada de Dados'!P$6:P$196,MATCH($C60,'Entrada de Dados'!$A$6:$A$196,0))</f>
        <v/>
      </c>
      <c r="T60" s="260">
        <f>INDEX('Entrada de Dados'!Q$6:Q$196,MATCH($C60,'Entrada de Dados'!$A$6:$A$196,0))</f>
        <v/>
      </c>
      <c r="U60" s="260">
        <f>INDEX('Entrada de Dados'!R$6:R$196,MATCH($C60,'Entrada de Dados'!$A$6:$A$196,0))</f>
        <v/>
      </c>
      <c r="V60" s="260">
        <f>INDEX('Entrada de Dados'!S$6:S$196,MATCH($C60,'Entrada de Dados'!$A$6:$A$196,0))</f>
        <v/>
      </c>
      <c r="W60" s="260">
        <f>INDEX('Entrada de Dados'!T$6:T$196,MATCH($C60,'Entrada de Dados'!$A$6:$A$196,0))</f>
        <v/>
      </c>
      <c r="X60" s="260">
        <f>INDEX('Entrada de Dados'!U$6:U$196,MATCH($C60,'Entrada de Dados'!$A$6:$A$196,0))</f>
        <v/>
      </c>
    </row>
    <row r="61" ht="15" customHeight="1" s="163">
      <c r="A61" s="258" t="n">
        <v>3</v>
      </c>
      <c r="B61" s="258" t="n"/>
      <c r="C61" s="258" t="inlineStr">
        <is>
          <t>2041</t>
        </is>
      </c>
      <c r="D61" s="259">
        <f>HYPERLINK("#'ESCOLA SÃO GERALDO'!A1","ESCOLA SÃO GERALDO")</f>
        <v/>
      </c>
      <c r="E61" s="259" t="inlineStr">
        <is>
          <t>CARANGOLA</t>
        </is>
      </c>
      <c r="F61" s="260">
        <f>INDEX('Entrada de Dados'!C$6:C$196,MATCH($C61,'Entrada de Dados'!$A$6:$A$196,0))</f>
        <v/>
      </c>
      <c r="G61" s="260">
        <f>INDEX('Entrada de Dados'!D$6:D$196,MATCH($C61,'Entrada de Dados'!$A$6:$A$196,0))</f>
        <v/>
      </c>
      <c r="H61" s="260">
        <f>INDEX('Entrada de Dados'!E$6:E$196,MATCH($C61,'Entrada de Dados'!$A$6:$A$196,0))</f>
        <v/>
      </c>
      <c r="I61" s="260">
        <f>INDEX('Entrada de Dados'!F$6:F$196,MATCH($C61,'Entrada de Dados'!$A$6:$A$196,0))</f>
        <v/>
      </c>
      <c r="J61" s="260">
        <f>INDEX('Entrada de Dados'!G$6:G$196,MATCH($C61,'Entrada de Dados'!$A$6:$A$196,0))</f>
        <v/>
      </c>
      <c r="K61" s="260">
        <f>INDEX('Entrada de Dados'!H$6:H$196,MATCH($C61,'Entrada de Dados'!$A$6:$A$196,0))</f>
        <v/>
      </c>
      <c r="L61" s="260">
        <f>INDEX('Entrada de Dados'!I$6:I$196,MATCH($C61,'Entrada de Dados'!$A$6:$A$196,0))</f>
        <v/>
      </c>
      <c r="M61" s="260">
        <f>INDEX('Entrada de Dados'!J$6:J$196,MATCH($C61,'Entrada de Dados'!$A$6:$A$196,0))</f>
        <v/>
      </c>
      <c r="N61" s="260">
        <f>INDEX('Entrada de Dados'!K$6:K$196,MATCH($C61,'Entrada de Dados'!$A$6:$A$196,0))</f>
        <v/>
      </c>
      <c r="O61" s="260">
        <f>INDEX('Entrada de Dados'!L$6:L$196,MATCH($C61,'Entrada de Dados'!$A$6:$A$196,0))</f>
        <v/>
      </c>
      <c r="P61" s="260">
        <f>INDEX('Entrada de Dados'!M$6:M$196,MATCH($C61,'Entrada de Dados'!$A$6:$A$196,0))</f>
        <v/>
      </c>
      <c r="Q61" s="260">
        <f>INDEX('Entrada de Dados'!N$6:N$196,MATCH($C61,'Entrada de Dados'!$A$6:$A$196,0))</f>
        <v/>
      </c>
      <c r="R61" s="260">
        <f>INDEX('Entrada de Dados'!O$6:O$196,MATCH($C61,'Entrada de Dados'!$A$6:$A$196,0))</f>
        <v/>
      </c>
      <c r="S61" s="260">
        <f>INDEX('Entrada de Dados'!P$6:P$196,MATCH($C61,'Entrada de Dados'!$A$6:$A$196,0))</f>
        <v/>
      </c>
      <c r="T61" s="260">
        <f>INDEX('Entrada de Dados'!Q$6:Q$196,MATCH($C61,'Entrada de Dados'!$A$6:$A$196,0))</f>
        <v/>
      </c>
      <c r="U61" s="260">
        <f>INDEX('Entrada de Dados'!R$6:R$196,MATCH($C61,'Entrada de Dados'!$A$6:$A$196,0))</f>
        <v/>
      </c>
      <c r="V61" s="260">
        <f>INDEX('Entrada de Dados'!S$6:S$196,MATCH($C61,'Entrada de Dados'!$A$6:$A$196,0))</f>
        <v/>
      </c>
      <c r="W61" s="260">
        <f>INDEX('Entrada de Dados'!T$6:T$196,MATCH($C61,'Entrada de Dados'!$A$6:$A$196,0))</f>
        <v/>
      </c>
      <c r="X61" s="260">
        <f>INDEX('Entrada de Dados'!U$6:U$196,MATCH($C61,'Entrada de Dados'!$A$6:$A$196,0))</f>
        <v/>
      </c>
    </row>
    <row r="62" ht="15" customHeight="1" s="163">
      <c r="A62" s="258" t="n">
        <v>4</v>
      </c>
      <c r="B62" s="258" t="n"/>
      <c r="C62" s="258" t="inlineStr">
        <is>
          <t>3039</t>
        </is>
      </c>
      <c r="D62" s="259">
        <f>HYPERLINK("#'CEI CARANGOLA'!A1","CEI CARANGOLA")</f>
        <v/>
      </c>
      <c r="E62" s="259" t="inlineStr">
        <is>
          <t>CARANGOLA</t>
        </is>
      </c>
      <c r="F62" s="260">
        <f>INDEX('Entrada de Dados'!C$6:C$196,MATCH($C62,'Entrada de Dados'!$A$6:$A$196,0))</f>
        <v/>
      </c>
      <c r="G62" s="260">
        <f>INDEX('Entrada de Dados'!D$6:D$196,MATCH($C62,'Entrada de Dados'!$A$6:$A$196,0))</f>
        <v/>
      </c>
      <c r="H62" s="260">
        <f>INDEX('Entrada de Dados'!E$6:E$196,MATCH($C62,'Entrada de Dados'!$A$6:$A$196,0))</f>
        <v/>
      </c>
      <c r="I62" s="260">
        <f>INDEX('Entrada de Dados'!F$6:F$196,MATCH($C62,'Entrada de Dados'!$A$6:$A$196,0))</f>
        <v/>
      </c>
      <c r="J62" s="260">
        <f>INDEX('Entrada de Dados'!G$6:G$196,MATCH($C62,'Entrada de Dados'!$A$6:$A$196,0))</f>
        <v/>
      </c>
      <c r="K62" s="260">
        <f>INDEX('Entrada de Dados'!H$6:H$196,MATCH($C62,'Entrada de Dados'!$A$6:$A$196,0))</f>
        <v/>
      </c>
      <c r="L62" s="260">
        <f>INDEX('Entrada de Dados'!I$6:I$196,MATCH($C62,'Entrada de Dados'!$A$6:$A$196,0))</f>
        <v/>
      </c>
      <c r="M62" s="260">
        <f>INDEX('Entrada de Dados'!J$6:J$196,MATCH($C62,'Entrada de Dados'!$A$6:$A$196,0))</f>
        <v/>
      </c>
      <c r="N62" s="260">
        <f>INDEX('Entrada de Dados'!K$6:K$196,MATCH($C62,'Entrada de Dados'!$A$6:$A$196,0))</f>
        <v/>
      </c>
      <c r="O62" s="260">
        <f>INDEX('Entrada de Dados'!L$6:L$196,MATCH($C62,'Entrada de Dados'!$A$6:$A$196,0))</f>
        <v/>
      </c>
      <c r="P62" s="260">
        <f>INDEX('Entrada de Dados'!M$6:M$196,MATCH($C62,'Entrada de Dados'!$A$6:$A$196,0))</f>
        <v/>
      </c>
      <c r="Q62" s="260">
        <f>INDEX('Entrada de Dados'!N$6:N$196,MATCH($C62,'Entrada de Dados'!$A$6:$A$196,0))</f>
        <v/>
      </c>
      <c r="R62" s="260">
        <f>INDEX('Entrada de Dados'!O$6:O$196,MATCH($C62,'Entrada de Dados'!$A$6:$A$196,0))</f>
        <v/>
      </c>
      <c r="S62" s="260">
        <f>INDEX('Entrada de Dados'!P$6:P$196,MATCH($C62,'Entrada de Dados'!$A$6:$A$196,0))</f>
        <v/>
      </c>
      <c r="T62" s="260">
        <f>INDEX('Entrada de Dados'!Q$6:Q$196,MATCH($C62,'Entrada de Dados'!$A$6:$A$196,0))</f>
        <v/>
      </c>
      <c r="U62" s="260">
        <f>INDEX('Entrada de Dados'!R$6:R$196,MATCH($C62,'Entrada de Dados'!$A$6:$A$196,0))</f>
        <v/>
      </c>
      <c r="V62" s="260">
        <f>INDEX('Entrada de Dados'!S$6:S$196,MATCH($C62,'Entrada de Dados'!$A$6:$A$196,0))</f>
        <v/>
      </c>
      <c r="W62" s="260">
        <f>INDEX('Entrada de Dados'!T$6:T$196,MATCH($C62,'Entrada de Dados'!$A$6:$A$196,0))</f>
        <v/>
      </c>
      <c r="X62" s="260">
        <f>INDEX('Entrada de Dados'!U$6:U$196,MATCH($C62,'Entrada de Dados'!$A$6:$A$196,0))</f>
        <v/>
      </c>
    </row>
    <row r="63" ht="15" customHeight="1" s="163">
      <c r="A63" s="258" t="n">
        <v>5</v>
      </c>
      <c r="B63" s="258" t="n"/>
      <c r="C63" s="258" t="inlineStr">
        <is>
          <t>3004</t>
        </is>
      </c>
      <c r="D63" s="259">
        <f>HYPERLINK("#'CEI LULU MONTEIRO DE CASTRO'!A1","CEI LULU MONTEIRO DE CASTRO")</f>
        <v/>
      </c>
      <c r="E63" s="259" t="inlineStr">
        <is>
          <t>CARANGOLA</t>
        </is>
      </c>
      <c r="F63" s="260">
        <f>INDEX('Entrada de Dados'!C$6:C$196,MATCH($C63,'Entrada de Dados'!$A$6:$A$196,0))</f>
        <v/>
      </c>
      <c r="G63" s="260">
        <f>INDEX('Entrada de Dados'!D$6:D$196,MATCH($C63,'Entrada de Dados'!$A$6:$A$196,0))</f>
        <v/>
      </c>
      <c r="H63" s="260">
        <f>INDEX('Entrada de Dados'!E$6:E$196,MATCH($C63,'Entrada de Dados'!$A$6:$A$196,0))</f>
        <v/>
      </c>
      <c r="I63" s="260">
        <f>INDEX('Entrada de Dados'!F$6:F$196,MATCH($C63,'Entrada de Dados'!$A$6:$A$196,0))</f>
        <v/>
      </c>
      <c r="J63" s="260">
        <f>INDEX('Entrada de Dados'!G$6:G$196,MATCH($C63,'Entrada de Dados'!$A$6:$A$196,0))</f>
        <v/>
      </c>
      <c r="K63" s="260">
        <f>INDEX('Entrada de Dados'!H$6:H$196,MATCH($C63,'Entrada de Dados'!$A$6:$A$196,0))</f>
        <v/>
      </c>
      <c r="L63" s="260">
        <f>INDEX('Entrada de Dados'!I$6:I$196,MATCH($C63,'Entrada de Dados'!$A$6:$A$196,0))</f>
        <v/>
      </c>
      <c r="M63" s="260">
        <f>INDEX('Entrada de Dados'!J$6:J$196,MATCH($C63,'Entrada de Dados'!$A$6:$A$196,0))</f>
        <v/>
      </c>
      <c r="N63" s="260">
        <f>INDEX('Entrada de Dados'!K$6:K$196,MATCH($C63,'Entrada de Dados'!$A$6:$A$196,0))</f>
        <v/>
      </c>
      <c r="O63" s="260">
        <f>INDEX('Entrada de Dados'!L$6:L$196,MATCH($C63,'Entrada de Dados'!$A$6:$A$196,0))</f>
        <v/>
      </c>
      <c r="P63" s="260">
        <f>INDEX('Entrada de Dados'!M$6:M$196,MATCH($C63,'Entrada de Dados'!$A$6:$A$196,0))</f>
        <v/>
      </c>
      <c r="Q63" s="260">
        <f>INDEX('Entrada de Dados'!N$6:N$196,MATCH($C63,'Entrada de Dados'!$A$6:$A$196,0))</f>
        <v/>
      </c>
      <c r="R63" s="260">
        <f>INDEX('Entrada de Dados'!O$6:O$196,MATCH($C63,'Entrada de Dados'!$A$6:$A$196,0))</f>
        <v/>
      </c>
      <c r="S63" s="260">
        <f>INDEX('Entrada de Dados'!P$6:P$196,MATCH($C63,'Entrada de Dados'!$A$6:$A$196,0))</f>
        <v/>
      </c>
      <c r="T63" s="260">
        <f>INDEX('Entrada de Dados'!Q$6:Q$196,MATCH($C63,'Entrada de Dados'!$A$6:$A$196,0))</f>
        <v/>
      </c>
      <c r="U63" s="260">
        <f>INDEX('Entrada de Dados'!R$6:R$196,MATCH($C63,'Entrada de Dados'!$A$6:$A$196,0))</f>
        <v/>
      </c>
      <c r="V63" s="260">
        <f>INDEX('Entrada de Dados'!S$6:S$196,MATCH($C63,'Entrada de Dados'!$A$6:$A$196,0))</f>
        <v/>
      </c>
      <c r="W63" s="260">
        <f>INDEX('Entrada de Dados'!T$6:T$196,MATCH($C63,'Entrada de Dados'!$A$6:$A$196,0))</f>
        <v/>
      </c>
      <c r="X63" s="260">
        <f>INDEX('Entrada de Dados'!U$6:U$196,MATCH($C63,'Entrada de Dados'!$A$6:$A$196,0))</f>
        <v/>
      </c>
    </row>
    <row r="64" ht="15" customHeight="1" s="163">
      <c r="A64" s="258" t="n">
        <v>6</v>
      </c>
      <c r="B64" s="258" t="n"/>
      <c r="C64" s="258" t="inlineStr">
        <is>
          <t>1033</t>
        </is>
      </c>
      <c r="D64" s="259">
        <f>HYPERLINK("#'ESCOLA MUNICIPAL LÚCIA DE ALMEI'!A1","ESCOLA MUNICIPAL LÚCIA DE ALMEIDA BRAGA")</f>
        <v/>
      </c>
      <c r="E64" s="259" t="inlineStr">
        <is>
          <t>CARANGOLA</t>
        </is>
      </c>
      <c r="F64" s="260">
        <f>INDEX('Entrada de Dados'!C$6:C$196,MATCH($C64,'Entrada de Dados'!$A$6:$A$196,0))</f>
        <v/>
      </c>
      <c r="G64" s="260">
        <f>INDEX('Entrada de Dados'!D$6:D$196,MATCH($C64,'Entrada de Dados'!$A$6:$A$196,0))</f>
        <v/>
      </c>
      <c r="H64" s="260">
        <f>INDEX('Entrada de Dados'!E$6:E$196,MATCH($C64,'Entrada de Dados'!$A$6:$A$196,0))</f>
        <v/>
      </c>
      <c r="I64" s="260">
        <f>INDEX('Entrada de Dados'!F$6:F$196,MATCH($C64,'Entrada de Dados'!$A$6:$A$196,0))</f>
        <v/>
      </c>
      <c r="J64" s="260">
        <f>INDEX('Entrada de Dados'!G$6:G$196,MATCH($C64,'Entrada de Dados'!$A$6:$A$196,0))</f>
        <v/>
      </c>
      <c r="K64" s="260">
        <f>INDEX('Entrada de Dados'!H$6:H$196,MATCH($C64,'Entrada de Dados'!$A$6:$A$196,0))</f>
        <v/>
      </c>
      <c r="L64" s="260">
        <f>INDEX('Entrada de Dados'!I$6:I$196,MATCH($C64,'Entrada de Dados'!$A$6:$A$196,0))</f>
        <v/>
      </c>
      <c r="M64" s="260">
        <f>INDEX('Entrada de Dados'!J$6:J$196,MATCH($C64,'Entrada de Dados'!$A$6:$A$196,0))</f>
        <v/>
      </c>
      <c r="N64" s="260">
        <f>INDEX('Entrada de Dados'!K$6:K$196,MATCH($C64,'Entrada de Dados'!$A$6:$A$196,0))</f>
        <v/>
      </c>
      <c r="O64" s="260">
        <f>INDEX('Entrada de Dados'!L$6:L$196,MATCH($C64,'Entrada de Dados'!$A$6:$A$196,0))</f>
        <v/>
      </c>
      <c r="P64" s="260">
        <f>INDEX('Entrada de Dados'!M$6:M$196,MATCH($C64,'Entrada de Dados'!$A$6:$A$196,0))</f>
        <v/>
      </c>
      <c r="Q64" s="260">
        <f>INDEX('Entrada de Dados'!N$6:N$196,MATCH($C64,'Entrada de Dados'!$A$6:$A$196,0))</f>
        <v/>
      </c>
      <c r="R64" s="260">
        <f>INDEX('Entrada de Dados'!O$6:O$196,MATCH($C64,'Entrada de Dados'!$A$6:$A$196,0))</f>
        <v/>
      </c>
      <c r="S64" s="260">
        <f>INDEX('Entrada de Dados'!P$6:P$196,MATCH($C64,'Entrada de Dados'!$A$6:$A$196,0))</f>
        <v/>
      </c>
      <c r="T64" s="260">
        <f>INDEX('Entrada de Dados'!Q$6:Q$196,MATCH($C64,'Entrada de Dados'!$A$6:$A$196,0))</f>
        <v/>
      </c>
      <c r="U64" s="260">
        <f>INDEX('Entrada de Dados'!R$6:R$196,MATCH($C64,'Entrada de Dados'!$A$6:$A$196,0))</f>
        <v/>
      </c>
      <c r="V64" s="260">
        <f>INDEX('Entrada de Dados'!S$6:S$196,MATCH($C64,'Entrada de Dados'!$A$6:$A$196,0))</f>
        <v/>
      </c>
      <c r="W64" s="260">
        <f>INDEX('Entrada de Dados'!T$6:T$196,MATCH($C64,'Entrada de Dados'!$A$6:$A$196,0))</f>
        <v/>
      </c>
      <c r="X64" s="260">
        <f>INDEX('Entrada de Dados'!U$6:U$196,MATCH($C64,'Entrada de Dados'!$A$6:$A$196,0))</f>
        <v/>
      </c>
    </row>
    <row r="65" ht="15" customHeight="1" s="163">
      <c r="A65" s="258" t="n">
        <v>7</v>
      </c>
      <c r="B65" s="258" t="n"/>
      <c r="C65" s="258" t="inlineStr">
        <is>
          <t>3051</t>
        </is>
      </c>
      <c r="D65" s="259">
        <f>HYPERLINK("#'CENTRO DE EDUCAÇÃO INFANTIL CAS'!A1","CENTRO DE EDUCAÇÃO INFANTIL CASA DA PAZ")</f>
        <v/>
      </c>
      <c r="E65" s="259" t="inlineStr">
        <is>
          <t>VALE DO CARANGOLA</t>
        </is>
      </c>
      <c r="F65" s="260">
        <f>INDEX('Entrada de Dados'!C$6:C$196,MATCH($C65,'Entrada de Dados'!$A$6:$A$196,0))</f>
        <v/>
      </c>
      <c r="G65" s="260">
        <f>INDEX('Entrada de Dados'!D$6:D$196,MATCH($C65,'Entrada de Dados'!$A$6:$A$196,0))</f>
        <v/>
      </c>
      <c r="H65" s="260">
        <f>INDEX('Entrada de Dados'!E$6:E$196,MATCH($C65,'Entrada de Dados'!$A$6:$A$196,0))</f>
        <v/>
      </c>
      <c r="I65" s="260">
        <f>INDEX('Entrada de Dados'!F$6:F$196,MATCH($C65,'Entrada de Dados'!$A$6:$A$196,0))</f>
        <v/>
      </c>
      <c r="J65" s="260">
        <f>INDEX('Entrada de Dados'!G$6:G$196,MATCH($C65,'Entrada de Dados'!$A$6:$A$196,0))</f>
        <v/>
      </c>
      <c r="K65" s="260">
        <f>INDEX('Entrada de Dados'!H$6:H$196,MATCH($C65,'Entrada de Dados'!$A$6:$A$196,0))</f>
        <v/>
      </c>
      <c r="L65" s="260">
        <f>INDEX('Entrada de Dados'!I$6:I$196,MATCH($C65,'Entrada de Dados'!$A$6:$A$196,0))</f>
        <v/>
      </c>
      <c r="M65" s="260">
        <f>INDEX('Entrada de Dados'!J$6:J$196,MATCH($C65,'Entrada de Dados'!$A$6:$A$196,0))</f>
        <v/>
      </c>
      <c r="N65" s="260">
        <f>INDEX('Entrada de Dados'!K$6:K$196,MATCH($C65,'Entrada de Dados'!$A$6:$A$196,0))</f>
        <v/>
      </c>
      <c r="O65" s="260">
        <f>INDEX('Entrada de Dados'!L$6:L$196,MATCH($C65,'Entrada de Dados'!$A$6:$A$196,0))</f>
        <v/>
      </c>
      <c r="P65" s="260">
        <f>INDEX('Entrada de Dados'!M$6:M$196,MATCH($C65,'Entrada de Dados'!$A$6:$A$196,0))</f>
        <v/>
      </c>
      <c r="Q65" s="260">
        <f>INDEX('Entrada de Dados'!N$6:N$196,MATCH($C65,'Entrada de Dados'!$A$6:$A$196,0))</f>
        <v/>
      </c>
      <c r="R65" s="260">
        <f>INDEX('Entrada de Dados'!O$6:O$196,MATCH($C65,'Entrada de Dados'!$A$6:$A$196,0))</f>
        <v/>
      </c>
      <c r="S65" s="260">
        <f>INDEX('Entrada de Dados'!P$6:P$196,MATCH($C65,'Entrada de Dados'!$A$6:$A$196,0))</f>
        <v/>
      </c>
      <c r="T65" s="260">
        <f>INDEX('Entrada de Dados'!Q$6:Q$196,MATCH($C65,'Entrada de Dados'!$A$6:$A$196,0))</f>
        <v/>
      </c>
      <c r="U65" s="260">
        <f>INDEX('Entrada de Dados'!R$6:R$196,MATCH($C65,'Entrada de Dados'!$A$6:$A$196,0))</f>
        <v/>
      </c>
      <c r="V65" s="260">
        <f>INDEX('Entrada de Dados'!S$6:S$196,MATCH($C65,'Entrada de Dados'!$A$6:$A$196,0))</f>
        <v/>
      </c>
      <c r="W65" s="260">
        <f>INDEX('Entrada de Dados'!T$6:T$196,MATCH($C65,'Entrada de Dados'!$A$6:$A$196,0))</f>
        <v/>
      </c>
      <c r="X65" s="260">
        <f>INDEX('Entrada de Dados'!U$6:U$196,MATCH($C65,'Entrada de Dados'!$A$6:$A$196,0))</f>
        <v/>
      </c>
    </row>
    <row r="66" ht="15" customHeight="1" s="163">
      <c r="A66" s="258" t="n">
        <v>8</v>
      </c>
      <c r="B66" s="258" t="n"/>
      <c r="C66" s="258" t="inlineStr">
        <is>
          <t>1096</t>
        </is>
      </c>
      <c r="D66" s="259">
        <f>HYPERLINK("#'E M MONSENHOR CIRILLO CALAON'!A1","E M MONSENHOR CIRILLO CALAON")</f>
        <v/>
      </c>
      <c r="E66" s="259" t="inlineStr">
        <is>
          <t>JARDIM SALVADOR</t>
        </is>
      </c>
      <c r="F66" s="260">
        <f>INDEX('Entrada de Dados'!C$6:C$196,MATCH($C66,'Entrada de Dados'!$A$6:$A$196,0))</f>
        <v/>
      </c>
      <c r="G66" s="260">
        <f>INDEX('Entrada de Dados'!D$6:D$196,MATCH($C66,'Entrada de Dados'!$A$6:$A$196,0))</f>
        <v/>
      </c>
      <c r="H66" s="260">
        <f>INDEX('Entrada de Dados'!E$6:E$196,MATCH($C66,'Entrada de Dados'!$A$6:$A$196,0))</f>
        <v/>
      </c>
      <c r="I66" s="260">
        <f>INDEX('Entrada de Dados'!F$6:F$196,MATCH($C66,'Entrada de Dados'!$A$6:$A$196,0))</f>
        <v/>
      </c>
      <c r="J66" s="260">
        <f>INDEX('Entrada de Dados'!G$6:G$196,MATCH($C66,'Entrada de Dados'!$A$6:$A$196,0))</f>
        <v/>
      </c>
      <c r="K66" s="260">
        <f>INDEX('Entrada de Dados'!H$6:H$196,MATCH($C66,'Entrada de Dados'!$A$6:$A$196,0))</f>
        <v/>
      </c>
      <c r="L66" s="260">
        <f>INDEX('Entrada de Dados'!I$6:I$196,MATCH($C66,'Entrada de Dados'!$A$6:$A$196,0))</f>
        <v/>
      </c>
      <c r="M66" s="260">
        <f>INDEX('Entrada de Dados'!J$6:J$196,MATCH($C66,'Entrada de Dados'!$A$6:$A$196,0))</f>
        <v/>
      </c>
      <c r="N66" s="260">
        <f>INDEX('Entrada de Dados'!K$6:K$196,MATCH($C66,'Entrada de Dados'!$A$6:$A$196,0))</f>
        <v/>
      </c>
      <c r="O66" s="260">
        <f>INDEX('Entrada de Dados'!L$6:L$196,MATCH($C66,'Entrada de Dados'!$A$6:$A$196,0))</f>
        <v/>
      </c>
      <c r="P66" s="260">
        <f>INDEX('Entrada de Dados'!M$6:M$196,MATCH($C66,'Entrada de Dados'!$A$6:$A$196,0))</f>
        <v/>
      </c>
      <c r="Q66" s="260">
        <f>INDEX('Entrada de Dados'!N$6:N$196,MATCH($C66,'Entrada de Dados'!$A$6:$A$196,0))</f>
        <v/>
      </c>
      <c r="R66" s="260">
        <f>INDEX('Entrada de Dados'!O$6:O$196,MATCH($C66,'Entrada de Dados'!$A$6:$A$196,0))</f>
        <v/>
      </c>
      <c r="S66" s="260">
        <f>INDEX('Entrada de Dados'!P$6:P$196,MATCH($C66,'Entrada de Dados'!$A$6:$A$196,0))</f>
        <v/>
      </c>
      <c r="T66" s="260">
        <f>INDEX('Entrada de Dados'!Q$6:Q$196,MATCH($C66,'Entrada de Dados'!$A$6:$A$196,0))</f>
        <v/>
      </c>
      <c r="U66" s="260">
        <f>INDEX('Entrada de Dados'!R$6:R$196,MATCH($C66,'Entrada de Dados'!$A$6:$A$196,0))</f>
        <v/>
      </c>
      <c r="V66" s="260">
        <f>INDEX('Entrada de Dados'!S$6:S$196,MATCH($C66,'Entrada de Dados'!$A$6:$A$196,0))</f>
        <v/>
      </c>
      <c r="W66" s="260">
        <f>INDEX('Entrada de Dados'!T$6:T$196,MATCH($C66,'Entrada de Dados'!$A$6:$A$196,0))</f>
        <v/>
      </c>
      <c r="X66" s="260">
        <f>INDEX('Entrada de Dados'!U$6:U$196,MATCH($C66,'Entrada de Dados'!$A$6:$A$196,0))</f>
        <v/>
      </c>
    </row>
    <row r="67" ht="15" customHeight="1" s="163">
      <c r="A67" s="258" t="n">
        <v>9</v>
      </c>
      <c r="B67" s="258" t="n"/>
      <c r="C67" s="258" t="inlineStr">
        <is>
          <t>3058</t>
        </is>
      </c>
      <c r="D67" s="259">
        <f>HYPERLINK("#'CENTRO DE EDUCAÇÃO INFANTIL LOT'!A1","CENTRO DE EDUCAÇÃO INFANTIL LOTA MACEDO SOARES")</f>
        <v/>
      </c>
      <c r="E67" s="259" t="inlineStr">
        <is>
          <t>SAMAMBAIA</t>
        </is>
      </c>
      <c r="F67" s="260">
        <f>INDEX('Entrada de Dados'!C$6:C$196,MATCH($C67,'Entrada de Dados'!$A$6:$A$196,0))</f>
        <v/>
      </c>
      <c r="G67" s="260">
        <f>INDEX('Entrada de Dados'!D$6:D$196,MATCH($C67,'Entrada de Dados'!$A$6:$A$196,0))</f>
        <v/>
      </c>
      <c r="H67" s="260">
        <f>INDEX('Entrada de Dados'!E$6:E$196,MATCH($C67,'Entrada de Dados'!$A$6:$A$196,0))</f>
        <v/>
      </c>
      <c r="I67" s="260">
        <f>INDEX('Entrada de Dados'!F$6:F$196,MATCH($C67,'Entrada de Dados'!$A$6:$A$196,0))</f>
        <v/>
      </c>
      <c r="J67" s="260">
        <f>INDEX('Entrada de Dados'!G$6:G$196,MATCH($C67,'Entrada de Dados'!$A$6:$A$196,0))</f>
        <v/>
      </c>
      <c r="K67" s="260">
        <f>INDEX('Entrada de Dados'!H$6:H$196,MATCH($C67,'Entrada de Dados'!$A$6:$A$196,0))</f>
        <v/>
      </c>
      <c r="L67" s="260">
        <f>INDEX('Entrada de Dados'!I$6:I$196,MATCH($C67,'Entrada de Dados'!$A$6:$A$196,0))</f>
        <v/>
      </c>
      <c r="M67" s="260">
        <f>INDEX('Entrada de Dados'!J$6:J$196,MATCH($C67,'Entrada de Dados'!$A$6:$A$196,0))</f>
        <v/>
      </c>
      <c r="N67" s="260">
        <f>INDEX('Entrada de Dados'!K$6:K$196,MATCH($C67,'Entrada de Dados'!$A$6:$A$196,0))</f>
        <v/>
      </c>
      <c r="O67" s="260">
        <f>INDEX('Entrada de Dados'!L$6:L$196,MATCH($C67,'Entrada de Dados'!$A$6:$A$196,0))</f>
        <v/>
      </c>
      <c r="P67" s="260">
        <f>INDEX('Entrada de Dados'!M$6:M$196,MATCH($C67,'Entrada de Dados'!$A$6:$A$196,0))</f>
        <v/>
      </c>
      <c r="Q67" s="260">
        <f>INDEX('Entrada de Dados'!N$6:N$196,MATCH($C67,'Entrada de Dados'!$A$6:$A$196,0))</f>
        <v/>
      </c>
      <c r="R67" s="260">
        <f>INDEX('Entrada de Dados'!O$6:O$196,MATCH($C67,'Entrada de Dados'!$A$6:$A$196,0))</f>
        <v/>
      </c>
      <c r="S67" s="260">
        <f>INDEX('Entrada de Dados'!P$6:P$196,MATCH($C67,'Entrada de Dados'!$A$6:$A$196,0))</f>
        <v/>
      </c>
      <c r="T67" s="260">
        <f>INDEX('Entrada de Dados'!Q$6:Q$196,MATCH($C67,'Entrada de Dados'!$A$6:$A$196,0))</f>
        <v/>
      </c>
      <c r="U67" s="260">
        <f>INDEX('Entrada de Dados'!R$6:R$196,MATCH($C67,'Entrada de Dados'!$A$6:$A$196,0))</f>
        <v/>
      </c>
      <c r="V67" s="260">
        <f>INDEX('Entrada de Dados'!S$6:S$196,MATCH($C67,'Entrada de Dados'!$A$6:$A$196,0))</f>
        <v/>
      </c>
      <c r="W67" s="260">
        <f>INDEX('Entrada de Dados'!T$6:T$196,MATCH($C67,'Entrada de Dados'!$A$6:$A$196,0))</f>
        <v/>
      </c>
      <c r="X67" s="260">
        <f>INDEX('Entrada de Dados'!U$6:U$196,MATCH($C67,'Entrada de Dados'!$A$6:$A$196,0))</f>
        <v/>
      </c>
    </row>
    <row r="68" ht="15" customHeight="1" s="163">
      <c r="A68" s="258" t="n">
        <v>10</v>
      </c>
      <c r="B68" s="258" t="n"/>
      <c r="C68" s="258" t="inlineStr">
        <is>
          <t>1028</t>
        </is>
      </c>
      <c r="D68" s="259">
        <f>HYPERLINK("#'E M ANTÔNIO LEITE GARCIA'!A1","E M ANTÔNIO LEITE GARCIA")</f>
        <v/>
      </c>
      <c r="E68" s="259" t="inlineStr">
        <is>
          <t>SAMAMBAIA</t>
        </is>
      </c>
      <c r="F68" s="260">
        <f>INDEX('Entrada de Dados'!C$6:C$196,MATCH($C68,'Entrada de Dados'!$A$6:$A$196,0))</f>
        <v/>
      </c>
      <c r="G68" s="260">
        <f>INDEX('Entrada de Dados'!D$6:D$196,MATCH($C68,'Entrada de Dados'!$A$6:$A$196,0))</f>
        <v/>
      </c>
      <c r="H68" s="260">
        <f>INDEX('Entrada de Dados'!E$6:E$196,MATCH($C68,'Entrada de Dados'!$A$6:$A$196,0))</f>
        <v/>
      </c>
      <c r="I68" s="260">
        <f>INDEX('Entrada de Dados'!F$6:F$196,MATCH($C68,'Entrada de Dados'!$A$6:$A$196,0))</f>
        <v/>
      </c>
      <c r="J68" s="260">
        <f>INDEX('Entrada de Dados'!G$6:G$196,MATCH($C68,'Entrada de Dados'!$A$6:$A$196,0))</f>
        <v/>
      </c>
      <c r="K68" s="260">
        <f>INDEX('Entrada de Dados'!H$6:H$196,MATCH($C68,'Entrada de Dados'!$A$6:$A$196,0))</f>
        <v/>
      </c>
      <c r="L68" s="260">
        <f>INDEX('Entrada de Dados'!I$6:I$196,MATCH($C68,'Entrada de Dados'!$A$6:$A$196,0))</f>
        <v/>
      </c>
      <c r="M68" s="260">
        <f>INDEX('Entrada de Dados'!J$6:J$196,MATCH($C68,'Entrada de Dados'!$A$6:$A$196,0))</f>
        <v/>
      </c>
      <c r="N68" s="260">
        <f>INDEX('Entrada de Dados'!K$6:K$196,MATCH($C68,'Entrada de Dados'!$A$6:$A$196,0))</f>
        <v/>
      </c>
      <c r="O68" s="260">
        <f>INDEX('Entrada de Dados'!L$6:L$196,MATCH($C68,'Entrada de Dados'!$A$6:$A$196,0))</f>
        <v/>
      </c>
      <c r="P68" s="260">
        <f>INDEX('Entrada de Dados'!M$6:M$196,MATCH($C68,'Entrada de Dados'!$A$6:$A$196,0))</f>
        <v/>
      </c>
      <c r="Q68" s="260">
        <f>INDEX('Entrada de Dados'!N$6:N$196,MATCH($C68,'Entrada de Dados'!$A$6:$A$196,0))</f>
        <v/>
      </c>
      <c r="R68" s="260">
        <f>INDEX('Entrada de Dados'!O$6:O$196,MATCH($C68,'Entrada de Dados'!$A$6:$A$196,0))</f>
        <v/>
      </c>
      <c r="S68" s="260">
        <f>INDEX('Entrada de Dados'!P$6:P$196,MATCH($C68,'Entrada de Dados'!$A$6:$A$196,0))</f>
        <v/>
      </c>
      <c r="T68" s="260">
        <f>INDEX('Entrada de Dados'!Q$6:Q$196,MATCH($C68,'Entrada de Dados'!$A$6:$A$196,0))</f>
        <v/>
      </c>
      <c r="U68" s="260">
        <f>INDEX('Entrada de Dados'!R$6:R$196,MATCH($C68,'Entrada de Dados'!$A$6:$A$196,0))</f>
        <v/>
      </c>
      <c r="V68" s="260">
        <f>INDEX('Entrada de Dados'!S$6:S$196,MATCH($C68,'Entrada de Dados'!$A$6:$A$196,0))</f>
        <v/>
      </c>
      <c r="W68" s="260">
        <f>INDEX('Entrada de Dados'!T$6:T$196,MATCH($C68,'Entrada de Dados'!$A$6:$A$196,0))</f>
        <v/>
      </c>
      <c r="X68" s="260">
        <f>INDEX('Entrada de Dados'!U$6:U$196,MATCH($C68,'Entrada de Dados'!$A$6:$A$196,0))</f>
        <v/>
      </c>
    </row>
    <row r="69" ht="15" customHeight="1" s="163">
      <c r="A69" s="258" t="n">
        <v>11</v>
      </c>
      <c r="B69" s="258" t="n"/>
      <c r="C69" s="258" t="inlineStr">
        <is>
          <t>2037</t>
        </is>
      </c>
      <c r="D69" s="259">
        <f>HYPERLINK("#'ESCOLA PAROQUIAL DA ALCOBAÇA'!A1","ESCOLA PAROQUIAL DA ALCOBAÇA")</f>
        <v/>
      </c>
      <c r="E69" s="259" t="inlineStr">
        <is>
          <t>SAMAMBAIA</t>
        </is>
      </c>
      <c r="F69" s="260">
        <f>INDEX('Entrada de Dados'!C$6:C$196,MATCH($C69,'Entrada de Dados'!$A$6:$A$196,0))</f>
        <v/>
      </c>
      <c r="G69" s="260">
        <f>INDEX('Entrada de Dados'!D$6:D$196,MATCH($C69,'Entrada de Dados'!$A$6:$A$196,0))</f>
        <v/>
      </c>
      <c r="H69" s="260">
        <f>INDEX('Entrada de Dados'!E$6:E$196,MATCH($C69,'Entrada de Dados'!$A$6:$A$196,0))</f>
        <v/>
      </c>
      <c r="I69" s="260">
        <f>INDEX('Entrada de Dados'!F$6:F$196,MATCH($C69,'Entrada de Dados'!$A$6:$A$196,0))</f>
        <v/>
      </c>
      <c r="J69" s="260">
        <f>INDEX('Entrada de Dados'!G$6:G$196,MATCH($C69,'Entrada de Dados'!$A$6:$A$196,0))</f>
        <v/>
      </c>
      <c r="K69" s="260">
        <f>INDEX('Entrada de Dados'!H$6:H$196,MATCH($C69,'Entrada de Dados'!$A$6:$A$196,0))</f>
        <v/>
      </c>
      <c r="L69" s="260">
        <f>INDEX('Entrada de Dados'!I$6:I$196,MATCH($C69,'Entrada de Dados'!$A$6:$A$196,0))</f>
        <v/>
      </c>
      <c r="M69" s="260">
        <f>INDEX('Entrada de Dados'!J$6:J$196,MATCH($C69,'Entrada de Dados'!$A$6:$A$196,0))</f>
        <v/>
      </c>
      <c r="N69" s="260">
        <f>INDEX('Entrada de Dados'!K$6:K$196,MATCH($C69,'Entrada de Dados'!$A$6:$A$196,0))</f>
        <v/>
      </c>
      <c r="O69" s="260">
        <f>INDEX('Entrada de Dados'!L$6:L$196,MATCH($C69,'Entrada de Dados'!$A$6:$A$196,0))</f>
        <v/>
      </c>
      <c r="P69" s="260">
        <f>INDEX('Entrada de Dados'!M$6:M$196,MATCH($C69,'Entrada de Dados'!$A$6:$A$196,0))</f>
        <v/>
      </c>
      <c r="Q69" s="260">
        <f>INDEX('Entrada de Dados'!N$6:N$196,MATCH($C69,'Entrada de Dados'!$A$6:$A$196,0))</f>
        <v/>
      </c>
      <c r="R69" s="260">
        <f>INDEX('Entrada de Dados'!O$6:O$196,MATCH($C69,'Entrada de Dados'!$A$6:$A$196,0))</f>
        <v/>
      </c>
      <c r="S69" s="260">
        <f>INDEX('Entrada de Dados'!P$6:P$196,MATCH($C69,'Entrada de Dados'!$A$6:$A$196,0))</f>
        <v/>
      </c>
      <c r="T69" s="260">
        <f>INDEX('Entrada de Dados'!Q$6:Q$196,MATCH($C69,'Entrada de Dados'!$A$6:$A$196,0))</f>
        <v/>
      </c>
      <c r="U69" s="260">
        <f>INDEX('Entrada de Dados'!R$6:R$196,MATCH($C69,'Entrada de Dados'!$A$6:$A$196,0))</f>
        <v/>
      </c>
      <c r="V69" s="260">
        <f>INDEX('Entrada de Dados'!S$6:S$196,MATCH($C69,'Entrada de Dados'!$A$6:$A$196,0))</f>
        <v/>
      </c>
      <c r="W69" s="260">
        <f>INDEX('Entrada de Dados'!T$6:T$196,MATCH($C69,'Entrada de Dados'!$A$6:$A$196,0))</f>
        <v/>
      </c>
      <c r="X69" s="260">
        <f>INDEX('Entrada de Dados'!U$6:U$196,MATCH($C69,'Entrada de Dados'!$A$6:$A$196,0))</f>
        <v/>
      </c>
    </row>
    <row r="70" ht="15" customHeight="1" s="163">
      <c r="A70" s="258" t="n">
        <v>12</v>
      </c>
      <c r="B70" s="258" t="n"/>
      <c r="C70" s="258" t="inlineStr">
        <is>
          <t>2038</t>
        </is>
      </c>
      <c r="D70" s="259">
        <f>HYPERLINK("#'ESCOLA PAROQUIAL DO LOTEAMENTO '!A1","ESCOLA PAROQUIAL DO LOTEAMENTO SAMAMBAIA")</f>
        <v/>
      </c>
      <c r="E70" s="259" t="inlineStr">
        <is>
          <t>LOTEAMENTO SAMAMBAIA</t>
        </is>
      </c>
      <c r="F70" s="260">
        <f>INDEX('Entrada de Dados'!C$6:C$196,MATCH($C70,'Entrada de Dados'!$A$6:$A$196,0))</f>
        <v/>
      </c>
      <c r="G70" s="260">
        <f>INDEX('Entrada de Dados'!D$6:D$196,MATCH($C70,'Entrada de Dados'!$A$6:$A$196,0))</f>
        <v/>
      </c>
      <c r="H70" s="260">
        <f>INDEX('Entrada de Dados'!E$6:E$196,MATCH($C70,'Entrada de Dados'!$A$6:$A$196,0))</f>
        <v/>
      </c>
      <c r="I70" s="260">
        <f>INDEX('Entrada de Dados'!F$6:F$196,MATCH($C70,'Entrada de Dados'!$A$6:$A$196,0))</f>
        <v/>
      </c>
      <c r="J70" s="260">
        <f>INDEX('Entrada de Dados'!G$6:G$196,MATCH($C70,'Entrada de Dados'!$A$6:$A$196,0))</f>
        <v/>
      </c>
      <c r="K70" s="260">
        <f>INDEX('Entrada de Dados'!H$6:H$196,MATCH($C70,'Entrada de Dados'!$A$6:$A$196,0))</f>
        <v/>
      </c>
      <c r="L70" s="260">
        <f>INDEX('Entrada de Dados'!I$6:I$196,MATCH($C70,'Entrada de Dados'!$A$6:$A$196,0))</f>
        <v/>
      </c>
      <c r="M70" s="260">
        <f>INDEX('Entrada de Dados'!J$6:J$196,MATCH($C70,'Entrada de Dados'!$A$6:$A$196,0))</f>
        <v/>
      </c>
      <c r="N70" s="260">
        <f>INDEX('Entrada de Dados'!K$6:K$196,MATCH($C70,'Entrada de Dados'!$A$6:$A$196,0))</f>
        <v/>
      </c>
      <c r="O70" s="260">
        <f>INDEX('Entrada de Dados'!L$6:L$196,MATCH($C70,'Entrada de Dados'!$A$6:$A$196,0))</f>
        <v/>
      </c>
      <c r="P70" s="260">
        <f>INDEX('Entrada de Dados'!M$6:M$196,MATCH($C70,'Entrada de Dados'!$A$6:$A$196,0))</f>
        <v/>
      </c>
      <c r="Q70" s="260">
        <f>INDEX('Entrada de Dados'!N$6:N$196,MATCH($C70,'Entrada de Dados'!$A$6:$A$196,0))</f>
        <v/>
      </c>
      <c r="R70" s="260">
        <f>INDEX('Entrada de Dados'!O$6:O$196,MATCH($C70,'Entrada de Dados'!$A$6:$A$196,0))</f>
        <v/>
      </c>
      <c r="S70" s="260">
        <f>INDEX('Entrada de Dados'!P$6:P$196,MATCH($C70,'Entrada de Dados'!$A$6:$A$196,0))</f>
        <v/>
      </c>
      <c r="T70" s="260">
        <f>INDEX('Entrada de Dados'!Q$6:Q$196,MATCH($C70,'Entrada de Dados'!$A$6:$A$196,0))</f>
        <v/>
      </c>
      <c r="U70" s="260">
        <f>INDEX('Entrada de Dados'!R$6:R$196,MATCH($C70,'Entrada de Dados'!$A$6:$A$196,0))</f>
        <v/>
      </c>
      <c r="V70" s="260">
        <f>INDEX('Entrada de Dados'!S$6:S$196,MATCH($C70,'Entrada de Dados'!$A$6:$A$196,0))</f>
        <v/>
      </c>
      <c r="W70" s="260">
        <f>INDEX('Entrada de Dados'!T$6:T$196,MATCH($C70,'Entrada de Dados'!$A$6:$A$196,0))</f>
        <v/>
      </c>
      <c r="X70" s="260">
        <f>INDEX('Entrada de Dados'!U$6:U$196,MATCH($C70,'Entrada de Dados'!$A$6:$A$196,0))</f>
        <v/>
      </c>
    </row>
    <row r="71" ht="21.75" customHeight="1" s="163">
      <c r="A71" s="265" t="inlineStr">
        <is>
          <t>Peso previsto:</t>
        </is>
      </c>
      <c r="C71" s="266">
        <f>SUM(F59:F70)+SUM(G59:G70)+SUM(H59:H70)+SUM(I59:I70)+SUM(J59:J70)+SUM(K59:K70)+SUM(L59:L70)+SUM(M59:M70)+SUM(N59:N70)+SUM(O59:O70)+SUM(P59:P70)+SUM(Q59:Q70)+SUM(R59:R70)+SUM(S59:S70)+SUM(T59:T70)+SUM(U59:U70)+SUM(W59:W70)+SUM(X59:X70)</f>
        <v/>
      </c>
      <c r="D71" s="265" t="inlineStr">
        <is>
          <t>Peso embarcado (kg):</t>
        </is>
      </c>
      <c r="F71" s="267" t="n"/>
      <c r="G71" s="265" t="inlineStr">
        <is>
          <t>Veículo:</t>
        </is>
      </c>
      <c r="I71" s="267" t="n"/>
      <c r="J71" s="268" t="n"/>
      <c r="K71" s="265" t="inlineStr">
        <is>
          <t>Motorista:</t>
        </is>
      </c>
      <c r="M71" s="267" t="n"/>
      <c r="N71" s="269" t="n"/>
      <c r="O71" s="269" t="n"/>
      <c r="P71" s="269" t="n"/>
      <c r="Q71" s="269" t="n"/>
      <c r="R71" s="269" t="n"/>
      <c r="S71" s="269" t="n"/>
      <c r="T71" s="269" t="n"/>
      <c r="U71" s="269" t="n"/>
      <c r="V71" s="269" t="n"/>
      <c r="W71" s="269" t="n"/>
      <c r="X71" s="268" t="n"/>
    </row>
    <row r="73" ht="19.5" customHeight="1" s="163">
      <c r="A73" s="186" t="inlineStr">
        <is>
          <t>ROTA S5 — ITAMARATI - QUISSAMÃ - CASCATINHA · CAMINHÃO MÉDIO · 13 escolas · 11 paradas físicas</t>
        </is>
      </c>
    </row>
    <row r="74" ht="25.5" customHeight="1" s="163">
      <c r="A74" s="256" t="inlineStr">
        <is>
          <t>Sequência-base: Galpão Itaipava &gt; Itamarati &gt; Quissamã &gt; Cascatinha &gt; Galpão   Atenção: Duas paradas compartilhadas reduzem deslocamentos: Bernardo Proença, 809 e Machado Fagundes, 326.</t>
        </is>
      </c>
    </row>
    <row r="75" ht="30" customHeight="1" s="163">
      <c r="A75" s="257" t="inlineStr">
        <is>
          <t>PAR.</t>
        </is>
      </c>
      <c r="B75" s="257" t="inlineStr">
        <is>
          <t>SUB</t>
        </is>
      </c>
      <c r="C75" s="257" t="inlineStr">
        <is>
          <t>CÓDIGO</t>
        </is>
      </c>
      <c r="D75" s="257" t="inlineStr">
        <is>
          <t>ESCOLA</t>
        </is>
      </c>
      <c r="E75" s="257" t="inlineStr">
        <is>
          <t>BAIRRO/CORREDOR</t>
        </is>
      </c>
      <c r="F75" s="257" t="inlineStr">
        <is>
          <t>Abacate</t>
        </is>
      </c>
      <c r="G75" s="257" t="inlineStr">
        <is>
          <t>Abobrinha</t>
        </is>
      </c>
      <c r="H75" s="257" t="inlineStr">
        <is>
          <t>Agrião</t>
        </is>
      </c>
      <c r="I75" s="257" t="inlineStr">
        <is>
          <t>Alface lisa</t>
        </is>
      </c>
      <c r="J75" s="257" t="inlineStr">
        <is>
          <t>Banana prata</t>
        </is>
      </c>
      <c r="K75" s="257" t="inlineStr">
        <is>
          <t>Batata inglesa</t>
        </is>
      </c>
      <c r="L75" s="257" t="inlineStr">
        <is>
          <t>Beterraba</t>
        </is>
      </c>
      <c r="M75" s="257" t="inlineStr">
        <is>
          <t>Brócolis</t>
        </is>
      </c>
      <c r="N75" s="257" t="inlineStr">
        <is>
          <t>Cenoura</t>
        </is>
      </c>
      <c r="O75" s="257" t="inlineStr">
        <is>
          <t>Cheiro verde</t>
        </is>
      </c>
      <c r="P75" s="257" t="inlineStr">
        <is>
          <t>Chuchu</t>
        </is>
      </c>
      <c r="Q75" s="257" t="inlineStr">
        <is>
          <t>Couve manteiga</t>
        </is>
      </c>
      <c r="R75" s="257" t="inlineStr">
        <is>
          <t>Couve-flor</t>
        </is>
      </c>
      <c r="S75" s="257" t="inlineStr">
        <is>
          <t>Espinafre</t>
        </is>
      </c>
      <c r="T75" s="257" t="inlineStr">
        <is>
          <t>Maçã gala</t>
        </is>
      </c>
      <c r="U75" s="257" t="inlineStr">
        <is>
          <t>Mel</t>
        </is>
      </c>
      <c r="V75" s="257" t="inlineStr">
        <is>
          <t>Ovos (dz)</t>
        </is>
      </c>
      <c r="W75" s="257" t="inlineStr">
        <is>
          <t>Repolho</t>
        </is>
      </c>
      <c r="X75" s="257" t="inlineStr">
        <is>
          <t>Tangerina ponkan</t>
        </is>
      </c>
    </row>
    <row r="76" ht="15" customHeight="1" s="163">
      <c r="A76" s="258" t="n">
        <v>1</v>
      </c>
      <c r="B76" s="258" t="n"/>
      <c r="C76" s="258" t="inlineStr">
        <is>
          <t>4006</t>
        </is>
      </c>
      <c r="D76" s="259">
        <f>HYPERLINK("#'CEI SÃO JOSÉ DO ITAMARATI'!A1","CEI SÃO JOSÉ DO ITAMARATI")</f>
        <v/>
      </c>
      <c r="E76" s="259" t="inlineStr">
        <is>
          <t>ITAMARATI</t>
        </is>
      </c>
      <c r="F76" s="260">
        <f>INDEX('Entrada de Dados'!C$6:C$196,MATCH($C76,'Entrada de Dados'!$A$6:$A$196,0))</f>
        <v/>
      </c>
      <c r="G76" s="260">
        <f>INDEX('Entrada de Dados'!D$6:D$196,MATCH($C76,'Entrada de Dados'!$A$6:$A$196,0))</f>
        <v/>
      </c>
      <c r="H76" s="260">
        <f>INDEX('Entrada de Dados'!E$6:E$196,MATCH($C76,'Entrada de Dados'!$A$6:$A$196,0))</f>
        <v/>
      </c>
      <c r="I76" s="260">
        <f>INDEX('Entrada de Dados'!F$6:F$196,MATCH($C76,'Entrada de Dados'!$A$6:$A$196,0))</f>
        <v/>
      </c>
      <c r="J76" s="260">
        <f>INDEX('Entrada de Dados'!G$6:G$196,MATCH($C76,'Entrada de Dados'!$A$6:$A$196,0))</f>
        <v/>
      </c>
      <c r="K76" s="260">
        <f>INDEX('Entrada de Dados'!H$6:H$196,MATCH($C76,'Entrada de Dados'!$A$6:$A$196,0))</f>
        <v/>
      </c>
      <c r="L76" s="260">
        <f>INDEX('Entrada de Dados'!I$6:I$196,MATCH($C76,'Entrada de Dados'!$A$6:$A$196,0))</f>
        <v/>
      </c>
      <c r="M76" s="260">
        <f>INDEX('Entrada de Dados'!J$6:J$196,MATCH($C76,'Entrada de Dados'!$A$6:$A$196,0))</f>
        <v/>
      </c>
      <c r="N76" s="260">
        <f>INDEX('Entrada de Dados'!K$6:K$196,MATCH($C76,'Entrada de Dados'!$A$6:$A$196,0))</f>
        <v/>
      </c>
      <c r="O76" s="260">
        <f>INDEX('Entrada de Dados'!L$6:L$196,MATCH($C76,'Entrada de Dados'!$A$6:$A$196,0))</f>
        <v/>
      </c>
      <c r="P76" s="260">
        <f>INDEX('Entrada de Dados'!M$6:M$196,MATCH($C76,'Entrada de Dados'!$A$6:$A$196,0))</f>
        <v/>
      </c>
      <c r="Q76" s="260">
        <f>INDEX('Entrada de Dados'!N$6:N$196,MATCH($C76,'Entrada de Dados'!$A$6:$A$196,0))</f>
        <v/>
      </c>
      <c r="R76" s="260">
        <f>INDEX('Entrada de Dados'!O$6:O$196,MATCH($C76,'Entrada de Dados'!$A$6:$A$196,0))</f>
        <v/>
      </c>
      <c r="S76" s="260">
        <f>INDEX('Entrada de Dados'!P$6:P$196,MATCH($C76,'Entrada de Dados'!$A$6:$A$196,0))</f>
        <v/>
      </c>
      <c r="T76" s="260">
        <f>INDEX('Entrada de Dados'!Q$6:Q$196,MATCH($C76,'Entrada de Dados'!$A$6:$A$196,0))</f>
        <v/>
      </c>
      <c r="U76" s="260">
        <f>INDEX('Entrada de Dados'!R$6:R$196,MATCH($C76,'Entrada de Dados'!$A$6:$A$196,0))</f>
        <v/>
      </c>
      <c r="V76" s="260">
        <f>INDEX('Entrada de Dados'!S$6:S$196,MATCH($C76,'Entrada de Dados'!$A$6:$A$196,0))</f>
        <v/>
      </c>
      <c r="W76" s="260">
        <f>INDEX('Entrada de Dados'!T$6:T$196,MATCH($C76,'Entrada de Dados'!$A$6:$A$196,0))</f>
        <v/>
      </c>
      <c r="X76" s="260">
        <f>INDEX('Entrada de Dados'!U$6:U$196,MATCH($C76,'Entrada de Dados'!$A$6:$A$196,0))</f>
        <v/>
      </c>
    </row>
    <row r="77" ht="15" customHeight="1" s="163">
      <c r="A77" s="258" t="n">
        <v>2</v>
      </c>
      <c r="B77" s="258" t="n"/>
      <c r="C77" s="258" t="inlineStr">
        <is>
          <t>1075</t>
        </is>
      </c>
      <c r="D77" s="259">
        <f>HYPERLINK("#'E MZDA CARMEM NUNES MARTINS'!A1","E MZDA CARMEM NUNES MARTINS")</f>
        <v/>
      </c>
      <c r="E77" s="259" t="inlineStr">
        <is>
          <t>ITAMARATI</t>
        </is>
      </c>
      <c r="F77" s="260">
        <f>INDEX('Entrada de Dados'!C$6:C$196,MATCH($C77,'Entrada de Dados'!$A$6:$A$196,0))</f>
        <v/>
      </c>
      <c r="G77" s="260">
        <f>INDEX('Entrada de Dados'!D$6:D$196,MATCH($C77,'Entrada de Dados'!$A$6:$A$196,0))</f>
        <v/>
      </c>
      <c r="H77" s="260">
        <f>INDEX('Entrada de Dados'!E$6:E$196,MATCH($C77,'Entrada de Dados'!$A$6:$A$196,0))</f>
        <v/>
      </c>
      <c r="I77" s="260">
        <f>INDEX('Entrada de Dados'!F$6:F$196,MATCH($C77,'Entrada de Dados'!$A$6:$A$196,0))</f>
        <v/>
      </c>
      <c r="J77" s="260">
        <f>INDEX('Entrada de Dados'!G$6:G$196,MATCH($C77,'Entrada de Dados'!$A$6:$A$196,0))</f>
        <v/>
      </c>
      <c r="K77" s="260">
        <f>INDEX('Entrada de Dados'!H$6:H$196,MATCH($C77,'Entrada de Dados'!$A$6:$A$196,0))</f>
        <v/>
      </c>
      <c r="L77" s="260">
        <f>INDEX('Entrada de Dados'!I$6:I$196,MATCH($C77,'Entrada de Dados'!$A$6:$A$196,0))</f>
        <v/>
      </c>
      <c r="M77" s="260">
        <f>INDEX('Entrada de Dados'!J$6:J$196,MATCH($C77,'Entrada de Dados'!$A$6:$A$196,0))</f>
        <v/>
      </c>
      <c r="N77" s="260">
        <f>INDEX('Entrada de Dados'!K$6:K$196,MATCH($C77,'Entrada de Dados'!$A$6:$A$196,0))</f>
        <v/>
      </c>
      <c r="O77" s="260">
        <f>INDEX('Entrada de Dados'!L$6:L$196,MATCH($C77,'Entrada de Dados'!$A$6:$A$196,0))</f>
        <v/>
      </c>
      <c r="P77" s="260">
        <f>INDEX('Entrada de Dados'!M$6:M$196,MATCH($C77,'Entrada de Dados'!$A$6:$A$196,0))</f>
        <v/>
      </c>
      <c r="Q77" s="260">
        <f>INDEX('Entrada de Dados'!N$6:N$196,MATCH($C77,'Entrada de Dados'!$A$6:$A$196,0))</f>
        <v/>
      </c>
      <c r="R77" s="260">
        <f>INDEX('Entrada de Dados'!O$6:O$196,MATCH($C77,'Entrada de Dados'!$A$6:$A$196,0))</f>
        <v/>
      </c>
      <c r="S77" s="260">
        <f>INDEX('Entrada de Dados'!P$6:P$196,MATCH($C77,'Entrada de Dados'!$A$6:$A$196,0))</f>
        <v/>
      </c>
      <c r="T77" s="260">
        <f>INDEX('Entrada de Dados'!Q$6:Q$196,MATCH($C77,'Entrada de Dados'!$A$6:$A$196,0))</f>
        <v/>
      </c>
      <c r="U77" s="260">
        <f>INDEX('Entrada de Dados'!R$6:R$196,MATCH($C77,'Entrada de Dados'!$A$6:$A$196,0))</f>
        <v/>
      </c>
      <c r="V77" s="260">
        <f>INDEX('Entrada de Dados'!S$6:S$196,MATCH($C77,'Entrada de Dados'!$A$6:$A$196,0))</f>
        <v/>
      </c>
      <c r="W77" s="260">
        <f>INDEX('Entrada de Dados'!T$6:T$196,MATCH($C77,'Entrada de Dados'!$A$6:$A$196,0))</f>
        <v/>
      </c>
      <c r="X77" s="260">
        <f>INDEX('Entrada de Dados'!U$6:U$196,MATCH($C77,'Entrada de Dados'!$A$6:$A$196,0))</f>
        <v/>
      </c>
    </row>
    <row r="78" ht="15" customHeight="1" s="163">
      <c r="A78" s="258" t="n">
        <v>3</v>
      </c>
      <c r="B78" s="258" t="n"/>
      <c r="C78" s="258" t="inlineStr">
        <is>
          <t>1042</t>
        </is>
      </c>
      <c r="D78" s="259">
        <f>HYPERLINK("#'E M ROSEMIRA DE OLIVEIRA CAVALC'!A1","E M ROSEMIRA DE OLIVEIRA CAVALCANTI")</f>
        <v/>
      </c>
      <c r="E78" s="259" t="inlineStr">
        <is>
          <t>ITAMARATI</t>
        </is>
      </c>
      <c r="F78" s="260">
        <f>INDEX('Entrada de Dados'!C$6:C$196,MATCH($C78,'Entrada de Dados'!$A$6:$A$196,0))</f>
        <v/>
      </c>
      <c r="G78" s="260">
        <f>INDEX('Entrada de Dados'!D$6:D$196,MATCH($C78,'Entrada de Dados'!$A$6:$A$196,0))</f>
        <v/>
      </c>
      <c r="H78" s="260">
        <f>INDEX('Entrada de Dados'!E$6:E$196,MATCH($C78,'Entrada de Dados'!$A$6:$A$196,0))</f>
        <v/>
      </c>
      <c r="I78" s="260">
        <f>INDEX('Entrada de Dados'!F$6:F$196,MATCH($C78,'Entrada de Dados'!$A$6:$A$196,0))</f>
        <v/>
      </c>
      <c r="J78" s="260">
        <f>INDEX('Entrada de Dados'!G$6:G$196,MATCH($C78,'Entrada de Dados'!$A$6:$A$196,0))</f>
        <v/>
      </c>
      <c r="K78" s="260">
        <f>INDEX('Entrada de Dados'!H$6:H$196,MATCH($C78,'Entrada de Dados'!$A$6:$A$196,0))</f>
        <v/>
      </c>
      <c r="L78" s="260">
        <f>INDEX('Entrada de Dados'!I$6:I$196,MATCH($C78,'Entrada de Dados'!$A$6:$A$196,0))</f>
        <v/>
      </c>
      <c r="M78" s="260">
        <f>INDEX('Entrada de Dados'!J$6:J$196,MATCH($C78,'Entrada de Dados'!$A$6:$A$196,0))</f>
        <v/>
      </c>
      <c r="N78" s="260">
        <f>INDEX('Entrada de Dados'!K$6:K$196,MATCH($C78,'Entrada de Dados'!$A$6:$A$196,0))</f>
        <v/>
      </c>
      <c r="O78" s="260">
        <f>INDEX('Entrada de Dados'!L$6:L$196,MATCH($C78,'Entrada de Dados'!$A$6:$A$196,0))</f>
        <v/>
      </c>
      <c r="P78" s="260">
        <f>INDEX('Entrada de Dados'!M$6:M$196,MATCH($C78,'Entrada de Dados'!$A$6:$A$196,0))</f>
        <v/>
      </c>
      <c r="Q78" s="260">
        <f>INDEX('Entrada de Dados'!N$6:N$196,MATCH($C78,'Entrada de Dados'!$A$6:$A$196,0))</f>
        <v/>
      </c>
      <c r="R78" s="260">
        <f>INDEX('Entrada de Dados'!O$6:O$196,MATCH($C78,'Entrada de Dados'!$A$6:$A$196,0))</f>
        <v/>
      </c>
      <c r="S78" s="260">
        <f>INDEX('Entrada de Dados'!P$6:P$196,MATCH($C78,'Entrada de Dados'!$A$6:$A$196,0))</f>
        <v/>
      </c>
      <c r="T78" s="260">
        <f>INDEX('Entrada de Dados'!Q$6:Q$196,MATCH($C78,'Entrada de Dados'!$A$6:$A$196,0))</f>
        <v/>
      </c>
      <c r="U78" s="260">
        <f>INDEX('Entrada de Dados'!R$6:R$196,MATCH($C78,'Entrada de Dados'!$A$6:$A$196,0))</f>
        <v/>
      </c>
      <c r="V78" s="260">
        <f>INDEX('Entrada de Dados'!S$6:S$196,MATCH($C78,'Entrada de Dados'!$A$6:$A$196,0))</f>
        <v/>
      </c>
      <c r="W78" s="260">
        <f>INDEX('Entrada de Dados'!T$6:T$196,MATCH($C78,'Entrada de Dados'!$A$6:$A$196,0))</f>
        <v/>
      </c>
      <c r="X78" s="260">
        <f>INDEX('Entrada de Dados'!U$6:U$196,MATCH($C78,'Entrada de Dados'!$A$6:$A$196,0))</f>
        <v/>
      </c>
    </row>
    <row r="79" ht="15" customHeight="1" s="163">
      <c r="A79" s="258" t="n">
        <v>4</v>
      </c>
      <c r="B79" s="258" t="n"/>
      <c r="C79" s="258" t="inlineStr">
        <is>
          <t>3070</t>
        </is>
      </c>
      <c r="D79" s="259">
        <f>HYPERLINK("#'CENTRO DE EDUCAÇÃO INFANTIL  2'!A1","CENTRO DE EDUCAÇÃO INFANTIL PROFESSORA ANNA MARIA NARDI")</f>
        <v/>
      </c>
      <c r="E79" s="259" t="inlineStr">
        <is>
          <t>QUISSAMÃ</t>
        </is>
      </c>
      <c r="F79" s="260">
        <f>INDEX('Entrada de Dados'!C$6:C$196,MATCH($C79,'Entrada de Dados'!$A$6:$A$196,0))</f>
        <v/>
      </c>
      <c r="G79" s="260">
        <f>INDEX('Entrada de Dados'!D$6:D$196,MATCH($C79,'Entrada de Dados'!$A$6:$A$196,0))</f>
        <v/>
      </c>
      <c r="H79" s="260">
        <f>INDEX('Entrada de Dados'!E$6:E$196,MATCH($C79,'Entrada de Dados'!$A$6:$A$196,0))</f>
        <v/>
      </c>
      <c r="I79" s="260">
        <f>INDEX('Entrada de Dados'!F$6:F$196,MATCH($C79,'Entrada de Dados'!$A$6:$A$196,0))</f>
        <v/>
      </c>
      <c r="J79" s="260">
        <f>INDEX('Entrada de Dados'!G$6:G$196,MATCH($C79,'Entrada de Dados'!$A$6:$A$196,0))</f>
        <v/>
      </c>
      <c r="K79" s="260">
        <f>INDEX('Entrada de Dados'!H$6:H$196,MATCH($C79,'Entrada de Dados'!$A$6:$A$196,0))</f>
        <v/>
      </c>
      <c r="L79" s="260">
        <f>INDEX('Entrada de Dados'!I$6:I$196,MATCH($C79,'Entrada de Dados'!$A$6:$A$196,0))</f>
        <v/>
      </c>
      <c r="M79" s="260">
        <f>INDEX('Entrada de Dados'!J$6:J$196,MATCH($C79,'Entrada de Dados'!$A$6:$A$196,0))</f>
        <v/>
      </c>
      <c r="N79" s="260">
        <f>INDEX('Entrada de Dados'!K$6:K$196,MATCH($C79,'Entrada de Dados'!$A$6:$A$196,0))</f>
        <v/>
      </c>
      <c r="O79" s="260">
        <f>INDEX('Entrada de Dados'!L$6:L$196,MATCH($C79,'Entrada de Dados'!$A$6:$A$196,0))</f>
        <v/>
      </c>
      <c r="P79" s="260">
        <f>INDEX('Entrada de Dados'!M$6:M$196,MATCH($C79,'Entrada de Dados'!$A$6:$A$196,0))</f>
        <v/>
      </c>
      <c r="Q79" s="260">
        <f>INDEX('Entrada de Dados'!N$6:N$196,MATCH($C79,'Entrada de Dados'!$A$6:$A$196,0))</f>
        <v/>
      </c>
      <c r="R79" s="260">
        <f>INDEX('Entrada de Dados'!O$6:O$196,MATCH($C79,'Entrada de Dados'!$A$6:$A$196,0))</f>
        <v/>
      </c>
      <c r="S79" s="260">
        <f>INDEX('Entrada de Dados'!P$6:P$196,MATCH($C79,'Entrada de Dados'!$A$6:$A$196,0))</f>
        <v/>
      </c>
      <c r="T79" s="260">
        <f>INDEX('Entrada de Dados'!Q$6:Q$196,MATCH($C79,'Entrada de Dados'!$A$6:$A$196,0))</f>
        <v/>
      </c>
      <c r="U79" s="260">
        <f>INDEX('Entrada de Dados'!R$6:R$196,MATCH($C79,'Entrada de Dados'!$A$6:$A$196,0))</f>
        <v/>
      </c>
      <c r="V79" s="260">
        <f>INDEX('Entrada de Dados'!S$6:S$196,MATCH($C79,'Entrada de Dados'!$A$6:$A$196,0))</f>
        <v/>
      </c>
      <c r="W79" s="260">
        <f>INDEX('Entrada de Dados'!T$6:T$196,MATCH($C79,'Entrada de Dados'!$A$6:$A$196,0))</f>
        <v/>
      </c>
      <c r="X79" s="260">
        <f>INDEX('Entrada de Dados'!U$6:U$196,MATCH($C79,'Entrada de Dados'!$A$6:$A$196,0))</f>
        <v/>
      </c>
    </row>
    <row r="80" ht="15" customHeight="1" s="163">
      <c r="A80" s="258" t="n">
        <v>5</v>
      </c>
      <c r="B80" s="258" t="n"/>
      <c r="C80" s="258" t="inlineStr">
        <is>
          <t>1008</t>
        </is>
      </c>
      <c r="D80" s="259">
        <f>HYPERLINK("#'E M DUQUE DE CAXIAS'!A1","E M DUQUE DE CAXIAS")</f>
        <v/>
      </c>
      <c r="E80" s="259" t="inlineStr">
        <is>
          <t>QUISSAMÃ</t>
        </is>
      </c>
      <c r="F80" s="260">
        <f>INDEX('Entrada de Dados'!C$6:C$196,MATCH($C80,'Entrada de Dados'!$A$6:$A$196,0))</f>
        <v/>
      </c>
      <c r="G80" s="260">
        <f>INDEX('Entrada de Dados'!D$6:D$196,MATCH($C80,'Entrada de Dados'!$A$6:$A$196,0))</f>
        <v/>
      </c>
      <c r="H80" s="260">
        <f>INDEX('Entrada de Dados'!E$6:E$196,MATCH($C80,'Entrada de Dados'!$A$6:$A$196,0))</f>
        <v/>
      </c>
      <c r="I80" s="260">
        <f>INDEX('Entrada de Dados'!F$6:F$196,MATCH($C80,'Entrada de Dados'!$A$6:$A$196,0))</f>
        <v/>
      </c>
      <c r="J80" s="260">
        <f>INDEX('Entrada de Dados'!G$6:G$196,MATCH($C80,'Entrada de Dados'!$A$6:$A$196,0))</f>
        <v/>
      </c>
      <c r="K80" s="260">
        <f>INDEX('Entrada de Dados'!H$6:H$196,MATCH($C80,'Entrada de Dados'!$A$6:$A$196,0))</f>
        <v/>
      </c>
      <c r="L80" s="260">
        <f>INDEX('Entrada de Dados'!I$6:I$196,MATCH($C80,'Entrada de Dados'!$A$6:$A$196,0))</f>
        <v/>
      </c>
      <c r="M80" s="260">
        <f>INDEX('Entrada de Dados'!J$6:J$196,MATCH($C80,'Entrada de Dados'!$A$6:$A$196,0))</f>
        <v/>
      </c>
      <c r="N80" s="260">
        <f>INDEX('Entrada de Dados'!K$6:K$196,MATCH($C80,'Entrada de Dados'!$A$6:$A$196,0))</f>
        <v/>
      </c>
      <c r="O80" s="260">
        <f>INDEX('Entrada de Dados'!L$6:L$196,MATCH($C80,'Entrada de Dados'!$A$6:$A$196,0))</f>
        <v/>
      </c>
      <c r="P80" s="260">
        <f>INDEX('Entrada de Dados'!M$6:M$196,MATCH($C80,'Entrada de Dados'!$A$6:$A$196,0))</f>
        <v/>
      </c>
      <c r="Q80" s="260">
        <f>INDEX('Entrada de Dados'!N$6:N$196,MATCH($C80,'Entrada de Dados'!$A$6:$A$196,0))</f>
        <v/>
      </c>
      <c r="R80" s="260">
        <f>INDEX('Entrada de Dados'!O$6:O$196,MATCH($C80,'Entrada de Dados'!$A$6:$A$196,0))</f>
        <v/>
      </c>
      <c r="S80" s="260">
        <f>INDEX('Entrada de Dados'!P$6:P$196,MATCH($C80,'Entrada de Dados'!$A$6:$A$196,0))</f>
        <v/>
      </c>
      <c r="T80" s="260">
        <f>INDEX('Entrada de Dados'!Q$6:Q$196,MATCH($C80,'Entrada de Dados'!$A$6:$A$196,0))</f>
        <v/>
      </c>
      <c r="U80" s="260">
        <f>INDEX('Entrada de Dados'!R$6:R$196,MATCH($C80,'Entrada de Dados'!$A$6:$A$196,0))</f>
        <v/>
      </c>
      <c r="V80" s="260">
        <f>INDEX('Entrada de Dados'!S$6:S$196,MATCH($C80,'Entrada de Dados'!$A$6:$A$196,0))</f>
        <v/>
      </c>
      <c r="W80" s="260">
        <f>INDEX('Entrada de Dados'!T$6:T$196,MATCH($C80,'Entrada de Dados'!$A$6:$A$196,0))</f>
        <v/>
      </c>
      <c r="X80" s="260">
        <f>INDEX('Entrada de Dados'!U$6:U$196,MATCH($C80,'Entrada de Dados'!$A$6:$A$196,0))</f>
        <v/>
      </c>
    </row>
    <row r="81" ht="15" customHeight="1" s="163">
      <c r="A81" s="258" t="n">
        <v>6</v>
      </c>
      <c r="B81" s="258" t="n"/>
      <c r="C81" s="258" t="inlineStr">
        <is>
          <t>1030</t>
        </is>
      </c>
      <c r="D81" s="259">
        <f>HYPERLINK("#'ESCOLA MUNICIPAL JORGE AMADO'!A1","ESCOLA MUNICIPAL JORGE AMADO")</f>
        <v/>
      </c>
      <c r="E81" s="259" t="inlineStr">
        <is>
          <t>CASCATINHA</t>
        </is>
      </c>
      <c r="F81" s="260">
        <f>INDEX('Entrada de Dados'!C$6:C$196,MATCH($C81,'Entrada de Dados'!$A$6:$A$196,0))</f>
        <v/>
      </c>
      <c r="G81" s="260">
        <f>INDEX('Entrada de Dados'!D$6:D$196,MATCH($C81,'Entrada de Dados'!$A$6:$A$196,0))</f>
        <v/>
      </c>
      <c r="H81" s="260">
        <f>INDEX('Entrada de Dados'!E$6:E$196,MATCH($C81,'Entrada de Dados'!$A$6:$A$196,0))</f>
        <v/>
      </c>
      <c r="I81" s="260">
        <f>INDEX('Entrada de Dados'!F$6:F$196,MATCH($C81,'Entrada de Dados'!$A$6:$A$196,0))</f>
        <v/>
      </c>
      <c r="J81" s="260">
        <f>INDEX('Entrada de Dados'!G$6:G$196,MATCH($C81,'Entrada de Dados'!$A$6:$A$196,0))</f>
        <v/>
      </c>
      <c r="K81" s="260">
        <f>INDEX('Entrada de Dados'!H$6:H$196,MATCH($C81,'Entrada de Dados'!$A$6:$A$196,0))</f>
        <v/>
      </c>
      <c r="L81" s="260">
        <f>INDEX('Entrada de Dados'!I$6:I$196,MATCH($C81,'Entrada de Dados'!$A$6:$A$196,0))</f>
        <v/>
      </c>
      <c r="M81" s="260">
        <f>INDEX('Entrada de Dados'!J$6:J$196,MATCH($C81,'Entrada de Dados'!$A$6:$A$196,0))</f>
        <v/>
      </c>
      <c r="N81" s="260">
        <f>INDEX('Entrada de Dados'!K$6:K$196,MATCH($C81,'Entrada de Dados'!$A$6:$A$196,0))</f>
        <v/>
      </c>
      <c r="O81" s="260">
        <f>INDEX('Entrada de Dados'!L$6:L$196,MATCH($C81,'Entrada de Dados'!$A$6:$A$196,0))</f>
        <v/>
      </c>
      <c r="P81" s="260">
        <f>INDEX('Entrada de Dados'!M$6:M$196,MATCH($C81,'Entrada de Dados'!$A$6:$A$196,0))</f>
        <v/>
      </c>
      <c r="Q81" s="260">
        <f>INDEX('Entrada de Dados'!N$6:N$196,MATCH($C81,'Entrada de Dados'!$A$6:$A$196,0))</f>
        <v/>
      </c>
      <c r="R81" s="260">
        <f>INDEX('Entrada de Dados'!O$6:O$196,MATCH($C81,'Entrada de Dados'!$A$6:$A$196,0))</f>
        <v/>
      </c>
      <c r="S81" s="260">
        <f>INDEX('Entrada de Dados'!P$6:P$196,MATCH($C81,'Entrada de Dados'!$A$6:$A$196,0))</f>
        <v/>
      </c>
      <c r="T81" s="260">
        <f>INDEX('Entrada de Dados'!Q$6:Q$196,MATCH($C81,'Entrada de Dados'!$A$6:$A$196,0))</f>
        <v/>
      </c>
      <c r="U81" s="260">
        <f>INDEX('Entrada de Dados'!R$6:R$196,MATCH($C81,'Entrada de Dados'!$A$6:$A$196,0))</f>
        <v/>
      </c>
      <c r="V81" s="260">
        <f>INDEX('Entrada de Dados'!S$6:S$196,MATCH($C81,'Entrada de Dados'!$A$6:$A$196,0))</f>
        <v/>
      </c>
      <c r="W81" s="260">
        <f>INDEX('Entrada de Dados'!T$6:T$196,MATCH($C81,'Entrada de Dados'!$A$6:$A$196,0))</f>
        <v/>
      </c>
      <c r="X81" s="260">
        <f>INDEX('Entrada de Dados'!U$6:U$196,MATCH($C81,'Entrada de Dados'!$A$6:$A$196,0))</f>
        <v/>
      </c>
    </row>
    <row r="82" ht="15" customHeight="1" s="163">
      <c r="A82" s="261" t="n">
        <v>7</v>
      </c>
      <c r="B82" s="261" t="inlineStr">
        <is>
          <t>A</t>
        </is>
      </c>
      <c r="C82" s="262" t="inlineStr">
        <is>
          <t>1112</t>
        </is>
      </c>
      <c r="D82" s="263">
        <f>HYPERLINK("#'CIEP BRIZOLÃO 474 MAESTRO GUERR'!A1","CIEP BRIZOLÃO 474 MAESTRO GUERRA PEIXE - MUNICIPALIZADO")</f>
        <v/>
      </c>
      <c r="E82" s="263" t="inlineStr">
        <is>
          <t>CASCATINHA</t>
        </is>
      </c>
      <c r="F82" s="264">
        <f>INDEX('Entrada de Dados'!C$6:C$196,MATCH($C82,'Entrada de Dados'!$A$6:$A$196,0))</f>
        <v/>
      </c>
      <c r="G82" s="264">
        <f>INDEX('Entrada de Dados'!D$6:D$196,MATCH($C82,'Entrada de Dados'!$A$6:$A$196,0))</f>
        <v/>
      </c>
      <c r="H82" s="264">
        <f>INDEX('Entrada de Dados'!E$6:E$196,MATCH($C82,'Entrada de Dados'!$A$6:$A$196,0))</f>
        <v/>
      </c>
      <c r="I82" s="264">
        <f>INDEX('Entrada de Dados'!F$6:F$196,MATCH($C82,'Entrada de Dados'!$A$6:$A$196,0))</f>
        <v/>
      </c>
      <c r="J82" s="264">
        <f>INDEX('Entrada de Dados'!G$6:G$196,MATCH($C82,'Entrada de Dados'!$A$6:$A$196,0))</f>
        <v/>
      </c>
      <c r="K82" s="264">
        <f>INDEX('Entrada de Dados'!H$6:H$196,MATCH($C82,'Entrada de Dados'!$A$6:$A$196,0))</f>
        <v/>
      </c>
      <c r="L82" s="264">
        <f>INDEX('Entrada de Dados'!I$6:I$196,MATCH($C82,'Entrada de Dados'!$A$6:$A$196,0))</f>
        <v/>
      </c>
      <c r="M82" s="264">
        <f>INDEX('Entrada de Dados'!J$6:J$196,MATCH($C82,'Entrada de Dados'!$A$6:$A$196,0))</f>
        <v/>
      </c>
      <c r="N82" s="264">
        <f>INDEX('Entrada de Dados'!K$6:K$196,MATCH($C82,'Entrada de Dados'!$A$6:$A$196,0))</f>
        <v/>
      </c>
      <c r="O82" s="264">
        <f>INDEX('Entrada de Dados'!L$6:L$196,MATCH($C82,'Entrada de Dados'!$A$6:$A$196,0))</f>
        <v/>
      </c>
      <c r="P82" s="264">
        <f>INDEX('Entrada de Dados'!M$6:M$196,MATCH($C82,'Entrada de Dados'!$A$6:$A$196,0))</f>
        <v/>
      </c>
      <c r="Q82" s="264">
        <f>INDEX('Entrada de Dados'!N$6:N$196,MATCH($C82,'Entrada de Dados'!$A$6:$A$196,0))</f>
        <v/>
      </c>
      <c r="R82" s="264">
        <f>INDEX('Entrada de Dados'!O$6:O$196,MATCH($C82,'Entrada de Dados'!$A$6:$A$196,0))</f>
        <v/>
      </c>
      <c r="S82" s="264">
        <f>INDEX('Entrada de Dados'!P$6:P$196,MATCH($C82,'Entrada de Dados'!$A$6:$A$196,0))</f>
        <v/>
      </c>
      <c r="T82" s="264">
        <f>INDEX('Entrada de Dados'!Q$6:Q$196,MATCH($C82,'Entrada de Dados'!$A$6:$A$196,0))</f>
        <v/>
      </c>
      <c r="U82" s="264">
        <f>INDEX('Entrada de Dados'!R$6:R$196,MATCH($C82,'Entrada de Dados'!$A$6:$A$196,0))</f>
        <v/>
      </c>
      <c r="V82" s="264">
        <f>INDEX('Entrada de Dados'!S$6:S$196,MATCH($C82,'Entrada de Dados'!$A$6:$A$196,0))</f>
        <v/>
      </c>
      <c r="W82" s="264">
        <f>INDEX('Entrada de Dados'!T$6:T$196,MATCH($C82,'Entrada de Dados'!$A$6:$A$196,0))</f>
        <v/>
      </c>
      <c r="X82" s="264">
        <f>INDEX('Entrada de Dados'!U$6:U$196,MATCH($C82,'Entrada de Dados'!$A$6:$A$196,0))</f>
        <v/>
      </c>
    </row>
    <row r="83" ht="15" customHeight="1" s="163">
      <c r="A83" s="261" t="n">
        <v>7</v>
      </c>
      <c r="B83" s="261" t="inlineStr">
        <is>
          <t>B</t>
        </is>
      </c>
      <c r="C83" s="262" t="inlineStr">
        <is>
          <t>3012</t>
        </is>
      </c>
      <c r="D83" s="263">
        <f>HYPERLINK("#'CEI ANDRÉ VANZAN'!A1","CEI ANDRÉ VANZAN")</f>
        <v/>
      </c>
      <c r="E83" s="263" t="inlineStr">
        <is>
          <t>CASCATINHA</t>
        </is>
      </c>
      <c r="F83" s="264">
        <f>INDEX('Entrada de Dados'!C$6:C$196,MATCH($C83,'Entrada de Dados'!$A$6:$A$196,0))</f>
        <v/>
      </c>
      <c r="G83" s="264">
        <f>INDEX('Entrada de Dados'!D$6:D$196,MATCH($C83,'Entrada de Dados'!$A$6:$A$196,0))</f>
        <v/>
      </c>
      <c r="H83" s="264">
        <f>INDEX('Entrada de Dados'!E$6:E$196,MATCH($C83,'Entrada de Dados'!$A$6:$A$196,0))</f>
        <v/>
      </c>
      <c r="I83" s="264">
        <f>INDEX('Entrada de Dados'!F$6:F$196,MATCH($C83,'Entrada de Dados'!$A$6:$A$196,0))</f>
        <v/>
      </c>
      <c r="J83" s="264">
        <f>INDEX('Entrada de Dados'!G$6:G$196,MATCH($C83,'Entrada de Dados'!$A$6:$A$196,0))</f>
        <v/>
      </c>
      <c r="K83" s="264">
        <f>INDEX('Entrada de Dados'!H$6:H$196,MATCH($C83,'Entrada de Dados'!$A$6:$A$196,0))</f>
        <v/>
      </c>
      <c r="L83" s="264">
        <f>INDEX('Entrada de Dados'!I$6:I$196,MATCH($C83,'Entrada de Dados'!$A$6:$A$196,0))</f>
        <v/>
      </c>
      <c r="M83" s="264">
        <f>INDEX('Entrada de Dados'!J$6:J$196,MATCH($C83,'Entrada de Dados'!$A$6:$A$196,0))</f>
        <v/>
      </c>
      <c r="N83" s="264">
        <f>INDEX('Entrada de Dados'!K$6:K$196,MATCH($C83,'Entrada de Dados'!$A$6:$A$196,0))</f>
        <v/>
      </c>
      <c r="O83" s="264">
        <f>INDEX('Entrada de Dados'!L$6:L$196,MATCH($C83,'Entrada de Dados'!$A$6:$A$196,0))</f>
        <v/>
      </c>
      <c r="P83" s="264">
        <f>INDEX('Entrada de Dados'!M$6:M$196,MATCH($C83,'Entrada de Dados'!$A$6:$A$196,0))</f>
        <v/>
      </c>
      <c r="Q83" s="264">
        <f>INDEX('Entrada de Dados'!N$6:N$196,MATCH($C83,'Entrada de Dados'!$A$6:$A$196,0))</f>
        <v/>
      </c>
      <c r="R83" s="264">
        <f>INDEX('Entrada de Dados'!O$6:O$196,MATCH($C83,'Entrada de Dados'!$A$6:$A$196,0))</f>
        <v/>
      </c>
      <c r="S83" s="264">
        <f>INDEX('Entrada de Dados'!P$6:P$196,MATCH($C83,'Entrada de Dados'!$A$6:$A$196,0))</f>
        <v/>
      </c>
      <c r="T83" s="264">
        <f>INDEX('Entrada de Dados'!Q$6:Q$196,MATCH($C83,'Entrada de Dados'!$A$6:$A$196,0))</f>
        <v/>
      </c>
      <c r="U83" s="264">
        <f>INDEX('Entrada de Dados'!R$6:R$196,MATCH($C83,'Entrada de Dados'!$A$6:$A$196,0))</f>
        <v/>
      </c>
      <c r="V83" s="264">
        <f>INDEX('Entrada de Dados'!S$6:S$196,MATCH($C83,'Entrada de Dados'!$A$6:$A$196,0))</f>
        <v/>
      </c>
      <c r="W83" s="264">
        <f>INDEX('Entrada de Dados'!T$6:T$196,MATCH($C83,'Entrada de Dados'!$A$6:$A$196,0))</f>
        <v/>
      </c>
      <c r="X83" s="264">
        <f>INDEX('Entrada de Dados'!U$6:U$196,MATCH($C83,'Entrada de Dados'!$A$6:$A$196,0))</f>
        <v/>
      </c>
    </row>
    <row r="84" ht="15" customHeight="1" s="163">
      <c r="A84" s="258" t="n">
        <v>8</v>
      </c>
      <c r="B84" s="258" t="n"/>
      <c r="C84" s="258" t="inlineStr">
        <is>
          <t>1038</t>
        </is>
      </c>
      <c r="D84" s="259">
        <f>HYPERLINK("#'E M FÁBRICA DO SABER'!A1","E M FÁBRICA DO SABER")</f>
        <v/>
      </c>
      <c r="E84" s="259" t="inlineStr">
        <is>
          <t>CASCATINHA</t>
        </is>
      </c>
      <c r="F84" s="260">
        <f>INDEX('Entrada de Dados'!C$6:C$196,MATCH($C84,'Entrada de Dados'!$A$6:$A$196,0))</f>
        <v/>
      </c>
      <c r="G84" s="260">
        <f>INDEX('Entrada de Dados'!D$6:D$196,MATCH($C84,'Entrada de Dados'!$A$6:$A$196,0))</f>
        <v/>
      </c>
      <c r="H84" s="260">
        <f>INDEX('Entrada de Dados'!E$6:E$196,MATCH($C84,'Entrada de Dados'!$A$6:$A$196,0))</f>
        <v/>
      </c>
      <c r="I84" s="260">
        <f>INDEX('Entrada de Dados'!F$6:F$196,MATCH($C84,'Entrada de Dados'!$A$6:$A$196,0))</f>
        <v/>
      </c>
      <c r="J84" s="260">
        <f>INDEX('Entrada de Dados'!G$6:G$196,MATCH($C84,'Entrada de Dados'!$A$6:$A$196,0))</f>
        <v/>
      </c>
      <c r="K84" s="260">
        <f>INDEX('Entrada de Dados'!H$6:H$196,MATCH($C84,'Entrada de Dados'!$A$6:$A$196,0))</f>
        <v/>
      </c>
      <c r="L84" s="260">
        <f>INDEX('Entrada de Dados'!I$6:I$196,MATCH($C84,'Entrada de Dados'!$A$6:$A$196,0))</f>
        <v/>
      </c>
      <c r="M84" s="260">
        <f>INDEX('Entrada de Dados'!J$6:J$196,MATCH($C84,'Entrada de Dados'!$A$6:$A$196,0))</f>
        <v/>
      </c>
      <c r="N84" s="260">
        <f>INDEX('Entrada de Dados'!K$6:K$196,MATCH($C84,'Entrada de Dados'!$A$6:$A$196,0))</f>
        <v/>
      </c>
      <c r="O84" s="260">
        <f>INDEX('Entrada de Dados'!L$6:L$196,MATCH($C84,'Entrada de Dados'!$A$6:$A$196,0))</f>
        <v/>
      </c>
      <c r="P84" s="260">
        <f>INDEX('Entrada de Dados'!M$6:M$196,MATCH($C84,'Entrada de Dados'!$A$6:$A$196,0))</f>
        <v/>
      </c>
      <c r="Q84" s="260">
        <f>INDEX('Entrada de Dados'!N$6:N$196,MATCH($C84,'Entrada de Dados'!$A$6:$A$196,0))</f>
        <v/>
      </c>
      <c r="R84" s="260">
        <f>INDEX('Entrada de Dados'!O$6:O$196,MATCH($C84,'Entrada de Dados'!$A$6:$A$196,0))</f>
        <v/>
      </c>
      <c r="S84" s="260">
        <f>INDEX('Entrada de Dados'!P$6:P$196,MATCH($C84,'Entrada de Dados'!$A$6:$A$196,0))</f>
        <v/>
      </c>
      <c r="T84" s="260">
        <f>INDEX('Entrada de Dados'!Q$6:Q$196,MATCH($C84,'Entrada de Dados'!$A$6:$A$196,0))</f>
        <v/>
      </c>
      <c r="U84" s="260">
        <f>INDEX('Entrada de Dados'!R$6:R$196,MATCH($C84,'Entrada de Dados'!$A$6:$A$196,0))</f>
        <v/>
      </c>
      <c r="V84" s="260">
        <f>INDEX('Entrada de Dados'!S$6:S$196,MATCH($C84,'Entrada de Dados'!$A$6:$A$196,0))</f>
        <v/>
      </c>
      <c r="W84" s="260">
        <f>INDEX('Entrada de Dados'!T$6:T$196,MATCH($C84,'Entrada de Dados'!$A$6:$A$196,0))</f>
        <v/>
      </c>
      <c r="X84" s="260">
        <f>INDEX('Entrada de Dados'!U$6:U$196,MATCH($C84,'Entrada de Dados'!$A$6:$A$196,0))</f>
        <v/>
      </c>
    </row>
    <row r="85" ht="15" customHeight="1" s="163">
      <c r="A85" s="261" t="n">
        <v>9</v>
      </c>
      <c r="B85" s="261" t="inlineStr">
        <is>
          <t>A</t>
        </is>
      </c>
      <c r="C85" s="262" t="inlineStr">
        <is>
          <t>3028</t>
        </is>
      </c>
      <c r="D85" s="263">
        <f>HYPERLINK("#'CENTRO DE EDUCAÇÃO INFANTIL CAR'!A1","CENTRO DE EDUCAÇÃO INFANTIL CAROLINA AMORIM")</f>
        <v/>
      </c>
      <c r="E85" s="263" t="inlineStr">
        <is>
          <t>CASCATINHA</t>
        </is>
      </c>
      <c r="F85" s="264">
        <f>INDEX('Entrada de Dados'!C$6:C$196,MATCH($C85,'Entrada de Dados'!$A$6:$A$196,0))</f>
        <v/>
      </c>
      <c r="G85" s="264">
        <f>INDEX('Entrada de Dados'!D$6:D$196,MATCH($C85,'Entrada de Dados'!$A$6:$A$196,0))</f>
        <v/>
      </c>
      <c r="H85" s="264">
        <f>INDEX('Entrada de Dados'!E$6:E$196,MATCH($C85,'Entrada de Dados'!$A$6:$A$196,0))</f>
        <v/>
      </c>
      <c r="I85" s="264">
        <f>INDEX('Entrada de Dados'!F$6:F$196,MATCH($C85,'Entrada de Dados'!$A$6:$A$196,0))</f>
        <v/>
      </c>
      <c r="J85" s="264">
        <f>INDEX('Entrada de Dados'!G$6:G$196,MATCH($C85,'Entrada de Dados'!$A$6:$A$196,0))</f>
        <v/>
      </c>
      <c r="K85" s="264">
        <f>INDEX('Entrada de Dados'!H$6:H$196,MATCH($C85,'Entrada de Dados'!$A$6:$A$196,0))</f>
        <v/>
      </c>
      <c r="L85" s="264">
        <f>INDEX('Entrada de Dados'!I$6:I$196,MATCH($C85,'Entrada de Dados'!$A$6:$A$196,0))</f>
        <v/>
      </c>
      <c r="M85" s="264">
        <f>INDEX('Entrada de Dados'!J$6:J$196,MATCH($C85,'Entrada de Dados'!$A$6:$A$196,0))</f>
        <v/>
      </c>
      <c r="N85" s="264">
        <f>INDEX('Entrada de Dados'!K$6:K$196,MATCH($C85,'Entrada de Dados'!$A$6:$A$196,0))</f>
        <v/>
      </c>
      <c r="O85" s="264">
        <f>INDEX('Entrada de Dados'!L$6:L$196,MATCH($C85,'Entrada de Dados'!$A$6:$A$196,0))</f>
        <v/>
      </c>
      <c r="P85" s="264">
        <f>INDEX('Entrada de Dados'!M$6:M$196,MATCH($C85,'Entrada de Dados'!$A$6:$A$196,0))</f>
        <v/>
      </c>
      <c r="Q85" s="264">
        <f>INDEX('Entrada de Dados'!N$6:N$196,MATCH($C85,'Entrada de Dados'!$A$6:$A$196,0))</f>
        <v/>
      </c>
      <c r="R85" s="264">
        <f>INDEX('Entrada de Dados'!O$6:O$196,MATCH($C85,'Entrada de Dados'!$A$6:$A$196,0))</f>
        <v/>
      </c>
      <c r="S85" s="264">
        <f>INDEX('Entrada de Dados'!P$6:P$196,MATCH($C85,'Entrada de Dados'!$A$6:$A$196,0))</f>
        <v/>
      </c>
      <c r="T85" s="264">
        <f>INDEX('Entrada de Dados'!Q$6:Q$196,MATCH($C85,'Entrada de Dados'!$A$6:$A$196,0))</f>
        <v/>
      </c>
      <c r="U85" s="264">
        <f>INDEX('Entrada de Dados'!R$6:R$196,MATCH($C85,'Entrada de Dados'!$A$6:$A$196,0))</f>
        <v/>
      </c>
      <c r="V85" s="264">
        <f>INDEX('Entrada de Dados'!S$6:S$196,MATCH($C85,'Entrada de Dados'!$A$6:$A$196,0))</f>
        <v/>
      </c>
      <c r="W85" s="264">
        <f>INDEX('Entrada de Dados'!T$6:T$196,MATCH($C85,'Entrada de Dados'!$A$6:$A$196,0))</f>
        <v/>
      </c>
      <c r="X85" s="264">
        <f>INDEX('Entrada de Dados'!U$6:U$196,MATCH($C85,'Entrada de Dados'!$A$6:$A$196,0))</f>
        <v/>
      </c>
    </row>
    <row r="86" ht="15" customHeight="1" s="163">
      <c r="A86" s="261" t="n">
        <v>9</v>
      </c>
      <c r="B86" s="261" t="inlineStr">
        <is>
          <t>B</t>
        </is>
      </c>
      <c r="C86" s="262" t="inlineStr">
        <is>
          <t>1113</t>
        </is>
      </c>
      <c r="D86" s="263">
        <f>HYPERLINK("#'CENTRO DE ENSINO PROF DARCY RIB'!A1","CENTRO DE ENSINO PROF DARCY RIBEIRO")</f>
        <v/>
      </c>
      <c r="E86" s="263" t="inlineStr">
        <is>
          <t>CASCATINHA</t>
        </is>
      </c>
      <c r="F86" s="264">
        <f>INDEX('Entrada de Dados'!C$6:C$196,MATCH($C86,'Entrada de Dados'!$A$6:$A$196,0))</f>
        <v/>
      </c>
      <c r="G86" s="264">
        <f>INDEX('Entrada de Dados'!D$6:D$196,MATCH($C86,'Entrada de Dados'!$A$6:$A$196,0))</f>
        <v/>
      </c>
      <c r="H86" s="264">
        <f>INDEX('Entrada de Dados'!E$6:E$196,MATCH($C86,'Entrada de Dados'!$A$6:$A$196,0))</f>
        <v/>
      </c>
      <c r="I86" s="264">
        <f>INDEX('Entrada de Dados'!F$6:F$196,MATCH($C86,'Entrada de Dados'!$A$6:$A$196,0))</f>
        <v/>
      </c>
      <c r="J86" s="264">
        <f>INDEX('Entrada de Dados'!G$6:G$196,MATCH($C86,'Entrada de Dados'!$A$6:$A$196,0))</f>
        <v/>
      </c>
      <c r="K86" s="264">
        <f>INDEX('Entrada de Dados'!H$6:H$196,MATCH($C86,'Entrada de Dados'!$A$6:$A$196,0))</f>
        <v/>
      </c>
      <c r="L86" s="264">
        <f>INDEX('Entrada de Dados'!I$6:I$196,MATCH($C86,'Entrada de Dados'!$A$6:$A$196,0))</f>
        <v/>
      </c>
      <c r="M86" s="264">
        <f>INDEX('Entrada de Dados'!J$6:J$196,MATCH($C86,'Entrada de Dados'!$A$6:$A$196,0))</f>
        <v/>
      </c>
      <c r="N86" s="264">
        <f>INDEX('Entrada de Dados'!K$6:K$196,MATCH($C86,'Entrada de Dados'!$A$6:$A$196,0))</f>
        <v/>
      </c>
      <c r="O86" s="264">
        <f>INDEX('Entrada de Dados'!L$6:L$196,MATCH($C86,'Entrada de Dados'!$A$6:$A$196,0))</f>
        <v/>
      </c>
      <c r="P86" s="264">
        <f>INDEX('Entrada de Dados'!M$6:M$196,MATCH($C86,'Entrada de Dados'!$A$6:$A$196,0))</f>
        <v/>
      </c>
      <c r="Q86" s="264">
        <f>INDEX('Entrada de Dados'!N$6:N$196,MATCH($C86,'Entrada de Dados'!$A$6:$A$196,0))</f>
        <v/>
      </c>
      <c r="R86" s="264">
        <f>INDEX('Entrada de Dados'!O$6:O$196,MATCH($C86,'Entrada de Dados'!$A$6:$A$196,0))</f>
        <v/>
      </c>
      <c r="S86" s="264">
        <f>INDEX('Entrada de Dados'!P$6:P$196,MATCH($C86,'Entrada de Dados'!$A$6:$A$196,0))</f>
        <v/>
      </c>
      <c r="T86" s="264">
        <f>INDEX('Entrada de Dados'!Q$6:Q$196,MATCH($C86,'Entrada de Dados'!$A$6:$A$196,0))</f>
        <v/>
      </c>
      <c r="U86" s="264">
        <f>INDEX('Entrada de Dados'!R$6:R$196,MATCH($C86,'Entrada de Dados'!$A$6:$A$196,0))</f>
        <v/>
      </c>
      <c r="V86" s="264">
        <f>INDEX('Entrada de Dados'!S$6:S$196,MATCH($C86,'Entrada de Dados'!$A$6:$A$196,0))</f>
        <v/>
      </c>
      <c r="W86" s="264">
        <f>INDEX('Entrada de Dados'!T$6:T$196,MATCH($C86,'Entrada de Dados'!$A$6:$A$196,0))</f>
        <v/>
      </c>
      <c r="X86" s="264">
        <f>INDEX('Entrada de Dados'!U$6:U$196,MATCH($C86,'Entrada de Dados'!$A$6:$A$196,0))</f>
        <v/>
      </c>
    </row>
    <row r="87" ht="15" customHeight="1" s="163">
      <c r="A87" s="258" t="n">
        <v>10</v>
      </c>
      <c r="B87" s="258" t="n"/>
      <c r="C87" s="258" t="inlineStr">
        <is>
          <t>4005</t>
        </is>
      </c>
      <c r="D87" s="259">
        <f>HYPERLINK("#'ASSOCIAÇÃO DA CRECHE SÃO FRANCI'!A1","ASSOCIAÇÃO DA CRECHE SÃO FRANCISCO DE ASSIS")</f>
        <v/>
      </c>
      <c r="E87" s="259" t="inlineStr">
        <is>
          <t>CASCATINHA</t>
        </is>
      </c>
      <c r="F87" s="260">
        <f>INDEX('Entrada de Dados'!C$6:C$196,MATCH($C87,'Entrada de Dados'!$A$6:$A$196,0))</f>
        <v/>
      </c>
      <c r="G87" s="260">
        <f>INDEX('Entrada de Dados'!D$6:D$196,MATCH($C87,'Entrada de Dados'!$A$6:$A$196,0))</f>
        <v/>
      </c>
      <c r="H87" s="260">
        <f>INDEX('Entrada de Dados'!E$6:E$196,MATCH($C87,'Entrada de Dados'!$A$6:$A$196,0))</f>
        <v/>
      </c>
      <c r="I87" s="260">
        <f>INDEX('Entrada de Dados'!F$6:F$196,MATCH($C87,'Entrada de Dados'!$A$6:$A$196,0))</f>
        <v/>
      </c>
      <c r="J87" s="260">
        <f>INDEX('Entrada de Dados'!G$6:G$196,MATCH($C87,'Entrada de Dados'!$A$6:$A$196,0))</f>
        <v/>
      </c>
      <c r="K87" s="260">
        <f>INDEX('Entrada de Dados'!H$6:H$196,MATCH($C87,'Entrada de Dados'!$A$6:$A$196,0))</f>
        <v/>
      </c>
      <c r="L87" s="260">
        <f>INDEX('Entrada de Dados'!I$6:I$196,MATCH($C87,'Entrada de Dados'!$A$6:$A$196,0))</f>
        <v/>
      </c>
      <c r="M87" s="260">
        <f>INDEX('Entrada de Dados'!J$6:J$196,MATCH($C87,'Entrada de Dados'!$A$6:$A$196,0))</f>
        <v/>
      </c>
      <c r="N87" s="260">
        <f>INDEX('Entrada de Dados'!K$6:K$196,MATCH($C87,'Entrada de Dados'!$A$6:$A$196,0))</f>
        <v/>
      </c>
      <c r="O87" s="260">
        <f>INDEX('Entrada de Dados'!L$6:L$196,MATCH($C87,'Entrada de Dados'!$A$6:$A$196,0))</f>
        <v/>
      </c>
      <c r="P87" s="260">
        <f>INDEX('Entrada de Dados'!M$6:M$196,MATCH($C87,'Entrada de Dados'!$A$6:$A$196,0))</f>
        <v/>
      </c>
      <c r="Q87" s="260">
        <f>INDEX('Entrada de Dados'!N$6:N$196,MATCH($C87,'Entrada de Dados'!$A$6:$A$196,0))</f>
        <v/>
      </c>
      <c r="R87" s="260">
        <f>INDEX('Entrada de Dados'!O$6:O$196,MATCH($C87,'Entrada de Dados'!$A$6:$A$196,0))</f>
        <v/>
      </c>
      <c r="S87" s="260">
        <f>INDEX('Entrada de Dados'!P$6:P$196,MATCH($C87,'Entrada de Dados'!$A$6:$A$196,0))</f>
        <v/>
      </c>
      <c r="T87" s="260">
        <f>INDEX('Entrada de Dados'!Q$6:Q$196,MATCH($C87,'Entrada de Dados'!$A$6:$A$196,0))</f>
        <v/>
      </c>
      <c r="U87" s="260">
        <f>INDEX('Entrada de Dados'!R$6:R$196,MATCH($C87,'Entrada de Dados'!$A$6:$A$196,0))</f>
        <v/>
      </c>
      <c r="V87" s="260">
        <f>INDEX('Entrada de Dados'!S$6:S$196,MATCH($C87,'Entrada de Dados'!$A$6:$A$196,0))</f>
        <v/>
      </c>
      <c r="W87" s="260">
        <f>INDEX('Entrada de Dados'!T$6:T$196,MATCH($C87,'Entrada de Dados'!$A$6:$A$196,0))</f>
        <v/>
      </c>
      <c r="X87" s="260">
        <f>INDEX('Entrada de Dados'!U$6:U$196,MATCH($C87,'Entrada de Dados'!$A$6:$A$196,0))</f>
        <v/>
      </c>
    </row>
    <row r="88" ht="15" customHeight="1" s="163">
      <c r="A88" s="258" t="n">
        <v>11</v>
      </c>
      <c r="B88" s="258" t="n"/>
      <c r="C88" s="258" t="inlineStr">
        <is>
          <t>3072</t>
        </is>
      </c>
      <c r="D88" s="259">
        <f>HYPERLINK("#'CEI BOA VISTA'!A1","CEI BOA VISTA")</f>
        <v/>
      </c>
      <c r="E88" s="259" t="inlineStr">
        <is>
          <t>CASCATINHA</t>
        </is>
      </c>
      <c r="F88" s="260">
        <f>INDEX('Entrada de Dados'!C$6:C$196,MATCH($C88,'Entrada de Dados'!$A$6:$A$196,0))</f>
        <v/>
      </c>
      <c r="G88" s="260">
        <f>INDEX('Entrada de Dados'!D$6:D$196,MATCH($C88,'Entrada de Dados'!$A$6:$A$196,0))</f>
        <v/>
      </c>
      <c r="H88" s="260">
        <f>INDEX('Entrada de Dados'!E$6:E$196,MATCH($C88,'Entrada de Dados'!$A$6:$A$196,0))</f>
        <v/>
      </c>
      <c r="I88" s="260">
        <f>INDEX('Entrada de Dados'!F$6:F$196,MATCH($C88,'Entrada de Dados'!$A$6:$A$196,0))</f>
        <v/>
      </c>
      <c r="J88" s="260">
        <f>INDEX('Entrada de Dados'!G$6:G$196,MATCH($C88,'Entrada de Dados'!$A$6:$A$196,0))</f>
        <v/>
      </c>
      <c r="K88" s="260">
        <f>INDEX('Entrada de Dados'!H$6:H$196,MATCH($C88,'Entrada de Dados'!$A$6:$A$196,0))</f>
        <v/>
      </c>
      <c r="L88" s="260">
        <f>INDEX('Entrada de Dados'!I$6:I$196,MATCH($C88,'Entrada de Dados'!$A$6:$A$196,0))</f>
        <v/>
      </c>
      <c r="M88" s="260">
        <f>INDEX('Entrada de Dados'!J$6:J$196,MATCH($C88,'Entrada de Dados'!$A$6:$A$196,0))</f>
        <v/>
      </c>
      <c r="N88" s="260">
        <f>INDEX('Entrada de Dados'!K$6:K$196,MATCH($C88,'Entrada de Dados'!$A$6:$A$196,0))</f>
        <v/>
      </c>
      <c r="O88" s="260">
        <f>INDEX('Entrada de Dados'!L$6:L$196,MATCH($C88,'Entrada de Dados'!$A$6:$A$196,0))</f>
        <v/>
      </c>
      <c r="P88" s="260">
        <f>INDEX('Entrada de Dados'!M$6:M$196,MATCH($C88,'Entrada de Dados'!$A$6:$A$196,0))</f>
        <v/>
      </c>
      <c r="Q88" s="260">
        <f>INDEX('Entrada de Dados'!N$6:N$196,MATCH($C88,'Entrada de Dados'!$A$6:$A$196,0))</f>
        <v/>
      </c>
      <c r="R88" s="260">
        <f>INDEX('Entrada de Dados'!O$6:O$196,MATCH($C88,'Entrada de Dados'!$A$6:$A$196,0))</f>
        <v/>
      </c>
      <c r="S88" s="260">
        <f>INDEX('Entrada de Dados'!P$6:P$196,MATCH($C88,'Entrada de Dados'!$A$6:$A$196,0))</f>
        <v/>
      </c>
      <c r="T88" s="260">
        <f>INDEX('Entrada de Dados'!Q$6:Q$196,MATCH($C88,'Entrada de Dados'!$A$6:$A$196,0))</f>
        <v/>
      </c>
      <c r="U88" s="260">
        <f>INDEX('Entrada de Dados'!R$6:R$196,MATCH($C88,'Entrada de Dados'!$A$6:$A$196,0))</f>
        <v/>
      </c>
      <c r="V88" s="260">
        <f>INDEX('Entrada de Dados'!S$6:S$196,MATCH($C88,'Entrada de Dados'!$A$6:$A$196,0))</f>
        <v/>
      </c>
      <c r="W88" s="260">
        <f>INDEX('Entrada de Dados'!T$6:T$196,MATCH($C88,'Entrada de Dados'!$A$6:$A$196,0))</f>
        <v/>
      </c>
      <c r="X88" s="260">
        <f>INDEX('Entrada de Dados'!U$6:U$196,MATCH($C88,'Entrada de Dados'!$A$6:$A$196,0))</f>
        <v/>
      </c>
    </row>
    <row r="89" ht="21.75" customHeight="1" s="163">
      <c r="A89" s="265" t="inlineStr">
        <is>
          <t>Peso previsto:</t>
        </is>
      </c>
      <c r="C89" s="266">
        <f>SUM(F76:F88)+SUM(G76:G88)+SUM(H76:H88)+SUM(I76:I88)+SUM(J76:J88)+SUM(K76:K88)+SUM(L76:L88)+SUM(M76:M88)+SUM(N76:N88)+SUM(O76:O88)+SUM(P76:P88)+SUM(Q76:Q88)+SUM(R76:R88)+SUM(S76:S88)+SUM(T76:T88)+SUM(U76:U88)+SUM(W76:W88)+SUM(X76:X88)</f>
        <v/>
      </c>
      <c r="D89" s="265" t="inlineStr">
        <is>
          <t>Peso embarcado (kg):</t>
        </is>
      </c>
      <c r="F89" s="267" t="n"/>
      <c r="G89" s="265" t="inlineStr">
        <is>
          <t>Veículo:</t>
        </is>
      </c>
      <c r="I89" s="267" t="n"/>
      <c r="J89" s="268" t="n"/>
      <c r="K89" s="265" t="inlineStr">
        <is>
          <t>Motorista:</t>
        </is>
      </c>
      <c r="M89" s="267" t="n"/>
      <c r="N89" s="269" t="n"/>
      <c r="O89" s="269" t="n"/>
      <c r="P89" s="269" t="n"/>
      <c r="Q89" s="269" t="n"/>
      <c r="R89" s="269" t="n"/>
      <c r="S89" s="269" t="n"/>
      <c r="T89" s="269" t="n"/>
      <c r="U89" s="269" t="n"/>
      <c r="V89" s="269" t="n"/>
      <c r="W89" s="269" t="n"/>
      <c r="X89" s="268" t="n"/>
    </row>
    <row r="91" ht="19.5" customHeight="1" s="163">
      <c r="A91" s="186" t="inlineStr">
        <is>
          <t>ROTA S6 — BINGEN · CAMINHÃO MÉDIO · 9 escolas · 9 paradas físicas</t>
        </is>
      </c>
    </row>
    <row r="92" ht="25.5" customHeight="1" s="163">
      <c r="A92" s="256" t="inlineStr">
        <is>
          <t>Sequência-base: Galpão Itaipava &gt; Bingen &gt; Galpão   Atenção: Acesso urbano. Planejar horário e descarga para evitar retenção em vias movimentadas.</t>
        </is>
      </c>
    </row>
    <row r="93" ht="30" customHeight="1" s="163">
      <c r="A93" s="257" t="inlineStr">
        <is>
          <t>PAR.</t>
        </is>
      </c>
      <c r="B93" s="257" t="inlineStr">
        <is>
          <t>SUB</t>
        </is>
      </c>
      <c r="C93" s="257" t="inlineStr">
        <is>
          <t>CÓDIGO</t>
        </is>
      </c>
      <c r="D93" s="257" t="inlineStr">
        <is>
          <t>ESCOLA</t>
        </is>
      </c>
      <c r="E93" s="257" t="inlineStr">
        <is>
          <t>BAIRRO/CORREDOR</t>
        </is>
      </c>
      <c r="F93" s="257" t="inlineStr">
        <is>
          <t>Abacate</t>
        </is>
      </c>
      <c r="G93" s="257" t="inlineStr">
        <is>
          <t>Abobrinha</t>
        </is>
      </c>
      <c r="H93" s="257" t="inlineStr">
        <is>
          <t>Agrião</t>
        </is>
      </c>
      <c r="I93" s="257" t="inlineStr">
        <is>
          <t>Alface lisa</t>
        </is>
      </c>
      <c r="J93" s="257" t="inlineStr">
        <is>
          <t>Banana prata</t>
        </is>
      </c>
      <c r="K93" s="257" t="inlineStr">
        <is>
          <t>Batata inglesa</t>
        </is>
      </c>
      <c r="L93" s="257" t="inlineStr">
        <is>
          <t>Beterraba</t>
        </is>
      </c>
      <c r="M93" s="257" t="inlineStr">
        <is>
          <t>Brócolis</t>
        </is>
      </c>
      <c r="N93" s="257" t="inlineStr">
        <is>
          <t>Cenoura</t>
        </is>
      </c>
      <c r="O93" s="257" t="inlineStr">
        <is>
          <t>Cheiro verde</t>
        </is>
      </c>
      <c r="P93" s="257" t="inlineStr">
        <is>
          <t>Chuchu</t>
        </is>
      </c>
      <c r="Q93" s="257" t="inlineStr">
        <is>
          <t>Couve manteiga</t>
        </is>
      </c>
      <c r="R93" s="257" t="inlineStr">
        <is>
          <t>Couve-flor</t>
        </is>
      </c>
      <c r="S93" s="257" t="inlineStr">
        <is>
          <t>Espinafre</t>
        </is>
      </c>
      <c r="T93" s="257" t="inlineStr">
        <is>
          <t>Maçã gala</t>
        </is>
      </c>
      <c r="U93" s="257" t="inlineStr">
        <is>
          <t>Mel</t>
        </is>
      </c>
      <c r="V93" s="257" t="inlineStr">
        <is>
          <t>Ovos (dz)</t>
        </is>
      </c>
      <c r="W93" s="257" t="inlineStr">
        <is>
          <t>Repolho</t>
        </is>
      </c>
      <c r="X93" s="257" t="inlineStr">
        <is>
          <t>Tangerina ponkan</t>
        </is>
      </c>
    </row>
    <row r="94" ht="15" customHeight="1" s="163">
      <c r="A94" s="258" t="n">
        <v>1</v>
      </c>
      <c r="B94" s="258" t="n"/>
      <c r="C94" s="258" t="inlineStr">
        <is>
          <t>3003</t>
        </is>
      </c>
      <c r="D94" s="259">
        <f>HYPERLINK("#'CEI CASA DA SOLIDARIEDADE DE NO'!A1","CEI CASA DA SOLIDARIEDADE DE NOSSA SENHORA APARECIDA")</f>
        <v/>
      </c>
      <c r="E94" s="259" t="inlineStr">
        <is>
          <t>BINGEN</t>
        </is>
      </c>
      <c r="F94" s="260">
        <f>INDEX('Entrada de Dados'!C$6:C$196,MATCH($C94,'Entrada de Dados'!$A$6:$A$196,0))</f>
        <v/>
      </c>
      <c r="G94" s="260">
        <f>INDEX('Entrada de Dados'!D$6:D$196,MATCH($C94,'Entrada de Dados'!$A$6:$A$196,0))</f>
        <v/>
      </c>
      <c r="H94" s="260">
        <f>INDEX('Entrada de Dados'!E$6:E$196,MATCH($C94,'Entrada de Dados'!$A$6:$A$196,0))</f>
        <v/>
      </c>
      <c r="I94" s="260">
        <f>INDEX('Entrada de Dados'!F$6:F$196,MATCH($C94,'Entrada de Dados'!$A$6:$A$196,0))</f>
        <v/>
      </c>
      <c r="J94" s="260">
        <f>INDEX('Entrada de Dados'!G$6:G$196,MATCH($C94,'Entrada de Dados'!$A$6:$A$196,0))</f>
        <v/>
      </c>
      <c r="K94" s="260">
        <f>INDEX('Entrada de Dados'!H$6:H$196,MATCH($C94,'Entrada de Dados'!$A$6:$A$196,0))</f>
        <v/>
      </c>
      <c r="L94" s="260">
        <f>INDEX('Entrada de Dados'!I$6:I$196,MATCH($C94,'Entrada de Dados'!$A$6:$A$196,0))</f>
        <v/>
      </c>
      <c r="M94" s="260">
        <f>INDEX('Entrada de Dados'!J$6:J$196,MATCH($C94,'Entrada de Dados'!$A$6:$A$196,0))</f>
        <v/>
      </c>
      <c r="N94" s="260">
        <f>INDEX('Entrada de Dados'!K$6:K$196,MATCH($C94,'Entrada de Dados'!$A$6:$A$196,0))</f>
        <v/>
      </c>
      <c r="O94" s="260">
        <f>INDEX('Entrada de Dados'!L$6:L$196,MATCH($C94,'Entrada de Dados'!$A$6:$A$196,0))</f>
        <v/>
      </c>
      <c r="P94" s="260">
        <f>INDEX('Entrada de Dados'!M$6:M$196,MATCH($C94,'Entrada de Dados'!$A$6:$A$196,0))</f>
        <v/>
      </c>
      <c r="Q94" s="260">
        <f>INDEX('Entrada de Dados'!N$6:N$196,MATCH($C94,'Entrada de Dados'!$A$6:$A$196,0))</f>
        <v/>
      </c>
      <c r="R94" s="260">
        <f>INDEX('Entrada de Dados'!O$6:O$196,MATCH($C94,'Entrada de Dados'!$A$6:$A$196,0))</f>
        <v/>
      </c>
      <c r="S94" s="260">
        <f>INDEX('Entrada de Dados'!P$6:P$196,MATCH($C94,'Entrada de Dados'!$A$6:$A$196,0))</f>
        <v/>
      </c>
      <c r="T94" s="260">
        <f>INDEX('Entrada de Dados'!Q$6:Q$196,MATCH($C94,'Entrada de Dados'!$A$6:$A$196,0))</f>
        <v/>
      </c>
      <c r="U94" s="260">
        <f>INDEX('Entrada de Dados'!R$6:R$196,MATCH($C94,'Entrada de Dados'!$A$6:$A$196,0))</f>
        <v/>
      </c>
      <c r="V94" s="260">
        <f>INDEX('Entrada de Dados'!S$6:S$196,MATCH($C94,'Entrada de Dados'!$A$6:$A$196,0))</f>
        <v/>
      </c>
      <c r="W94" s="260">
        <f>INDEX('Entrada de Dados'!T$6:T$196,MATCH($C94,'Entrada de Dados'!$A$6:$A$196,0))</f>
        <v/>
      </c>
      <c r="X94" s="260">
        <f>INDEX('Entrada de Dados'!U$6:U$196,MATCH($C94,'Entrada de Dados'!$A$6:$A$196,0))</f>
        <v/>
      </c>
    </row>
    <row r="95" ht="15" customHeight="1" s="163">
      <c r="A95" s="258" t="n">
        <v>2</v>
      </c>
      <c r="B95" s="258" t="n"/>
      <c r="C95" s="258" t="inlineStr">
        <is>
          <t>1004</t>
        </is>
      </c>
      <c r="D95" s="259">
        <f>HYPERLINK("#'E M LEONARDO BOFF'!A1","E M LEONARDO BOFF")</f>
        <v/>
      </c>
      <c r="E95" s="259" t="inlineStr">
        <is>
          <t>BINGEN</t>
        </is>
      </c>
      <c r="F95" s="260">
        <f>INDEX('Entrada de Dados'!C$6:C$196,MATCH($C95,'Entrada de Dados'!$A$6:$A$196,0))</f>
        <v/>
      </c>
      <c r="G95" s="260">
        <f>INDEX('Entrada de Dados'!D$6:D$196,MATCH($C95,'Entrada de Dados'!$A$6:$A$196,0))</f>
        <v/>
      </c>
      <c r="H95" s="260">
        <f>INDEX('Entrada de Dados'!E$6:E$196,MATCH($C95,'Entrada de Dados'!$A$6:$A$196,0))</f>
        <v/>
      </c>
      <c r="I95" s="260">
        <f>INDEX('Entrada de Dados'!F$6:F$196,MATCH($C95,'Entrada de Dados'!$A$6:$A$196,0))</f>
        <v/>
      </c>
      <c r="J95" s="260">
        <f>INDEX('Entrada de Dados'!G$6:G$196,MATCH($C95,'Entrada de Dados'!$A$6:$A$196,0))</f>
        <v/>
      </c>
      <c r="K95" s="260">
        <f>INDEX('Entrada de Dados'!H$6:H$196,MATCH($C95,'Entrada de Dados'!$A$6:$A$196,0))</f>
        <v/>
      </c>
      <c r="L95" s="260">
        <f>INDEX('Entrada de Dados'!I$6:I$196,MATCH($C95,'Entrada de Dados'!$A$6:$A$196,0))</f>
        <v/>
      </c>
      <c r="M95" s="260">
        <f>INDEX('Entrada de Dados'!J$6:J$196,MATCH($C95,'Entrada de Dados'!$A$6:$A$196,0))</f>
        <v/>
      </c>
      <c r="N95" s="260">
        <f>INDEX('Entrada de Dados'!K$6:K$196,MATCH($C95,'Entrada de Dados'!$A$6:$A$196,0))</f>
        <v/>
      </c>
      <c r="O95" s="260">
        <f>INDEX('Entrada de Dados'!L$6:L$196,MATCH($C95,'Entrada de Dados'!$A$6:$A$196,0))</f>
        <v/>
      </c>
      <c r="P95" s="260">
        <f>INDEX('Entrada de Dados'!M$6:M$196,MATCH($C95,'Entrada de Dados'!$A$6:$A$196,0))</f>
        <v/>
      </c>
      <c r="Q95" s="260">
        <f>INDEX('Entrada de Dados'!N$6:N$196,MATCH($C95,'Entrada de Dados'!$A$6:$A$196,0))</f>
        <v/>
      </c>
      <c r="R95" s="260">
        <f>INDEX('Entrada de Dados'!O$6:O$196,MATCH($C95,'Entrada de Dados'!$A$6:$A$196,0))</f>
        <v/>
      </c>
      <c r="S95" s="260">
        <f>INDEX('Entrada de Dados'!P$6:P$196,MATCH($C95,'Entrada de Dados'!$A$6:$A$196,0))</f>
        <v/>
      </c>
      <c r="T95" s="260">
        <f>INDEX('Entrada de Dados'!Q$6:Q$196,MATCH($C95,'Entrada de Dados'!$A$6:$A$196,0))</f>
        <v/>
      </c>
      <c r="U95" s="260">
        <f>INDEX('Entrada de Dados'!R$6:R$196,MATCH($C95,'Entrada de Dados'!$A$6:$A$196,0))</f>
        <v/>
      </c>
      <c r="V95" s="260">
        <f>INDEX('Entrada de Dados'!S$6:S$196,MATCH($C95,'Entrada de Dados'!$A$6:$A$196,0))</f>
        <v/>
      </c>
      <c r="W95" s="260">
        <f>INDEX('Entrada de Dados'!T$6:T$196,MATCH($C95,'Entrada de Dados'!$A$6:$A$196,0))</f>
        <v/>
      </c>
      <c r="X95" s="260">
        <f>INDEX('Entrada de Dados'!U$6:U$196,MATCH($C95,'Entrada de Dados'!$A$6:$A$196,0))</f>
        <v/>
      </c>
    </row>
    <row r="96" ht="15" customHeight="1" s="163">
      <c r="A96" s="258" t="n">
        <v>3</v>
      </c>
      <c r="B96" s="258" t="n"/>
      <c r="C96" s="258" t="inlineStr">
        <is>
          <t>1101</t>
        </is>
      </c>
      <c r="D96" s="259">
        <f>HYPERLINK("#'E M JOHANN NOEL'!A1","E M JOHANN NOEL")</f>
        <v/>
      </c>
      <c r="E96" s="259" t="inlineStr">
        <is>
          <t>BINGEN</t>
        </is>
      </c>
      <c r="F96" s="260">
        <f>INDEX('Entrada de Dados'!C$6:C$196,MATCH($C96,'Entrada de Dados'!$A$6:$A$196,0))</f>
        <v/>
      </c>
      <c r="G96" s="260">
        <f>INDEX('Entrada de Dados'!D$6:D$196,MATCH($C96,'Entrada de Dados'!$A$6:$A$196,0))</f>
        <v/>
      </c>
      <c r="H96" s="260">
        <f>INDEX('Entrada de Dados'!E$6:E$196,MATCH($C96,'Entrada de Dados'!$A$6:$A$196,0))</f>
        <v/>
      </c>
      <c r="I96" s="260">
        <f>INDEX('Entrada de Dados'!F$6:F$196,MATCH($C96,'Entrada de Dados'!$A$6:$A$196,0))</f>
        <v/>
      </c>
      <c r="J96" s="260">
        <f>INDEX('Entrada de Dados'!G$6:G$196,MATCH($C96,'Entrada de Dados'!$A$6:$A$196,0))</f>
        <v/>
      </c>
      <c r="K96" s="260">
        <f>INDEX('Entrada de Dados'!H$6:H$196,MATCH($C96,'Entrada de Dados'!$A$6:$A$196,0))</f>
        <v/>
      </c>
      <c r="L96" s="260">
        <f>INDEX('Entrada de Dados'!I$6:I$196,MATCH($C96,'Entrada de Dados'!$A$6:$A$196,0))</f>
        <v/>
      </c>
      <c r="M96" s="260">
        <f>INDEX('Entrada de Dados'!J$6:J$196,MATCH($C96,'Entrada de Dados'!$A$6:$A$196,0))</f>
        <v/>
      </c>
      <c r="N96" s="260">
        <f>INDEX('Entrada de Dados'!K$6:K$196,MATCH($C96,'Entrada de Dados'!$A$6:$A$196,0))</f>
        <v/>
      </c>
      <c r="O96" s="260">
        <f>INDEX('Entrada de Dados'!L$6:L$196,MATCH($C96,'Entrada de Dados'!$A$6:$A$196,0))</f>
        <v/>
      </c>
      <c r="P96" s="260">
        <f>INDEX('Entrada de Dados'!M$6:M$196,MATCH($C96,'Entrada de Dados'!$A$6:$A$196,0))</f>
        <v/>
      </c>
      <c r="Q96" s="260">
        <f>INDEX('Entrada de Dados'!N$6:N$196,MATCH($C96,'Entrada de Dados'!$A$6:$A$196,0))</f>
        <v/>
      </c>
      <c r="R96" s="260">
        <f>INDEX('Entrada de Dados'!O$6:O$196,MATCH($C96,'Entrada de Dados'!$A$6:$A$196,0))</f>
        <v/>
      </c>
      <c r="S96" s="260">
        <f>INDEX('Entrada de Dados'!P$6:P$196,MATCH($C96,'Entrada de Dados'!$A$6:$A$196,0))</f>
        <v/>
      </c>
      <c r="T96" s="260">
        <f>INDEX('Entrada de Dados'!Q$6:Q$196,MATCH($C96,'Entrada de Dados'!$A$6:$A$196,0))</f>
        <v/>
      </c>
      <c r="U96" s="260">
        <f>INDEX('Entrada de Dados'!R$6:R$196,MATCH($C96,'Entrada de Dados'!$A$6:$A$196,0))</f>
        <v/>
      </c>
      <c r="V96" s="260">
        <f>INDEX('Entrada de Dados'!S$6:S$196,MATCH($C96,'Entrada de Dados'!$A$6:$A$196,0))</f>
        <v/>
      </c>
      <c r="W96" s="260">
        <f>INDEX('Entrada de Dados'!T$6:T$196,MATCH($C96,'Entrada de Dados'!$A$6:$A$196,0))</f>
        <v/>
      </c>
      <c r="X96" s="260">
        <f>INDEX('Entrada de Dados'!U$6:U$196,MATCH($C96,'Entrada de Dados'!$A$6:$A$196,0))</f>
        <v/>
      </c>
    </row>
    <row r="97" ht="15" customHeight="1" s="163">
      <c r="A97" s="258" t="n">
        <v>4</v>
      </c>
      <c r="B97" s="258" t="n"/>
      <c r="C97" s="258" t="inlineStr">
        <is>
          <t>1010</t>
        </is>
      </c>
      <c r="D97" s="259">
        <f>HYPERLINK("#'ESCOLA MUNICIPAL GENERAL HEITOR'!A1","ESCOLA MUNICIPAL GENERAL HEITOR BORGES")</f>
        <v/>
      </c>
      <c r="E97" s="259" t="inlineStr">
        <is>
          <t>BINGEN</t>
        </is>
      </c>
      <c r="F97" s="260">
        <f>INDEX('Entrada de Dados'!C$6:C$196,MATCH($C97,'Entrada de Dados'!$A$6:$A$196,0))</f>
        <v/>
      </c>
      <c r="G97" s="260">
        <f>INDEX('Entrada de Dados'!D$6:D$196,MATCH($C97,'Entrada de Dados'!$A$6:$A$196,0))</f>
        <v/>
      </c>
      <c r="H97" s="260">
        <f>INDEX('Entrada de Dados'!E$6:E$196,MATCH($C97,'Entrada de Dados'!$A$6:$A$196,0))</f>
        <v/>
      </c>
      <c r="I97" s="260">
        <f>INDEX('Entrada de Dados'!F$6:F$196,MATCH($C97,'Entrada de Dados'!$A$6:$A$196,0))</f>
        <v/>
      </c>
      <c r="J97" s="260">
        <f>INDEX('Entrada de Dados'!G$6:G$196,MATCH($C97,'Entrada de Dados'!$A$6:$A$196,0))</f>
        <v/>
      </c>
      <c r="K97" s="260">
        <f>INDEX('Entrada de Dados'!H$6:H$196,MATCH($C97,'Entrada de Dados'!$A$6:$A$196,0))</f>
        <v/>
      </c>
      <c r="L97" s="260">
        <f>INDEX('Entrada de Dados'!I$6:I$196,MATCH($C97,'Entrada de Dados'!$A$6:$A$196,0))</f>
        <v/>
      </c>
      <c r="M97" s="260">
        <f>INDEX('Entrada de Dados'!J$6:J$196,MATCH($C97,'Entrada de Dados'!$A$6:$A$196,0))</f>
        <v/>
      </c>
      <c r="N97" s="260">
        <f>INDEX('Entrada de Dados'!K$6:K$196,MATCH($C97,'Entrada de Dados'!$A$6:$A$196,0))</f>
        <v/>
      </c>
      <c r="O97" s="260">
        <f>INDEX('Entrada de Dados'!L$6:L$196,MATCH($C97,'Entrada de Dados'!$A$6:$A$196,0))</f>
        <v/>
      </c>
      <c r="P97" s="260">
        <f>INDEX('Entrada de Dados'!M$6:M$196,MATCH($C97,'Entrada de Dados'!$A$6:$A$196,0))</f>
        <v/>
      </c>
      <c r="Q97" s="260">
        <f>INDEX('Entrada de Dados'!N$6:N$196,MATCH($C97,'Entrada de Dados'!$A$6:$A$196,0))</f>
        <v/>
      </c>
      <c r="R97" s="260">
        <f>INDEX('Entrada de Dados'!O$6:O$196,MATCH($C97,'Entrada de Dados'!$A$6:$A$196,0))</f>
        <v/>
      </c>
      <c r="S97" s="260">
        <f>INDEX('Entrada de Dados'!P$6:P$196,MATCH($C97,'Entrada de Dados'!$A$6:$A$196,0))</f>
        <v/>
      </c>
      <c r="T97" s="260">
        <f>INDEX('Entrada de Dados'!Q$6:Q$196,MATCH($C97,'Entrada de Dados'!$A$6:$A$196,0))</f>
        <v/>
      </c>
      <c r="U97" s="260">
        <f>INDEX('Entrada de Dados'!R$6:R$196,MATCH($C97,'Entrada de Dados'!$A$6:$A$196,0))</f>
        <v/>
      </c>
      <c r="V97" s="260">
        <f>INDEX('Entrada de Dados'!S$6:S$196,MATCH($C97,'Entrada de Dados'!$A$6:$A$196,0))</f>
        <v/>
      </c>
      <c r="W97" s="260">
        <f>INDEX('Entrada de Dados'!T$6:T$196,MATCH($C97,'Entrada de Dados'!$A$6:$A$196,0))</f>
        <v/>
      </c>
      <c r="X97" s="260">
        <f>INDEX('Entrada de Dados'!U$6:U$196,MATCH($C97,'Entrada de Dados'!$A$6:$A$196,0))</f>
        <v/>
      </c>
    </row>
    <row r="98" ht="15" customHeight="1" s="163">
      <c r="A98" s="258" t="n">
        <v>5</v>
      </c>
      <c r="B98" s="258" t="n"/>
      <c r="C98" s="258" t="inlineStr">
        <is>
          <t>2024</t>
        </is>
      </c>
      <c r="D98" s="259">
        <f>HYPERLINK("#'ESCOLA SANTA RITA DE CASSIA'!A1","ESCOLA SANTA RITA DE CASSIA")</f>
        <v/>
      </c>
      <c r="E98" s="259" t="inlineStr">
        <is>
          <t>BINGEN</t>
        </is>
      </c>
      <c r="F98" s="260">
        <f>INDEX('Entrada de Dados'!C$6:C$196,MATCH($C98,'Entrada de Dados'!$A$6:$A$196,0))</f>
        <v/>
      </c>
      <c r="G98" s="260">
        <f>INDEX('Entrada de Dados'!D$6:D$196,MATCH($C98,'Entrada de Dados'!$A$6:$A$196,0))</f>
        <v/>
      </c>
      <c r="H98" s="260">
        <f>INDEX('Entrada de Dados'!E$6:E$196,MATCH($C98,'Entrada de Dados'!$A$6:$A$196,0))</f>
        <v/>
      </c>
      <c r="I98" s="260">
        <f>INDEX('Entrada de Dados'!F$6:F$196,MATCH($C98,'Entrada de Dados'!$A$6:$A$196,0))</f>
        <v/>
      </c>
      <c r="J98" s="260">
        <f>INDEX('Entrada de Dados'!G$6:G$196,MATCH($C98,'Entrada de Dados'!$A$6:$A$196,0))</f>
        <v/>
      </c>
      <c r="K98" s="260">
        <f>INDEX('Entrada de Dados'!H$6:H$196,MATCH($C98,'Entrada de Dados'!$A$6:$A$196,0))</f>
        <v/>
      </c>
      <c r="L98" s="260">
        <f>INDEX('Entrada de Dados'!I$6:I$196,MATCH($C98,'Entrada de Dados'!$A$6:$A$196,0))</f>
        <v/>
      </c>
      <c r="M98" s="260">
        <f>INDEX('Entrada de Dados'!J$6:J$196,MATCH($C98,'Entrada de Dados'!$A$6:$A$196,0))</f>
        <v/>
      </c>
      <c r="N98" s="260">
        <f>INDEX('Entrada de Dados'!K$6:K$196,MATCH($C98,'Entrada de Dados'!$A$6:$A$196,0))</f>
        <v/>
      </c>
      <c r="O98" s="260">
        <f>INDEX('Entrada de Dados'!L$6:L$196,MATCH($C98,'Entrada de Dados'!$A$6:$A$196,0))</f>
        <v/>
      </c>
      <c r="P98" s="260">
        <f>INDEX('Entrada de Dados'!M$6:M$196,MATCH($C98,'Entrada de Dados'!$A$6:$A$196,0))</f>
        <v/>
      </c>
      <c r="Q98" s="260">
        <f>INDEX('Entrada de Dados'!N$6:N$196,MATCH($C98,'Entrada de Dados'!$A$6:$A$196,0))</f>
        <v/>
      </c>
      <c r="R98" s="260">
        <f>INDEX('Entrada de Dados'!O$6:O$196,MATCH($C98,'Entrada de Dados'!$A$6:$A$196,0))</f>
        <v/>
      </c>
      <c r="S98" s="260">
        <f>INDEX('Entrada de Dados'!P$6:P$196,MATCH($C98,'Entrada de Dados'!$A$6:$A$196,0))</f>
        <v/>
      </c>
      <c r="T98" s="260">
        <f>INDEX('Entrada de Dados'!Q$6:Q$196,MATCH($C98,'Entrada de Dados'!$A$6:$A$196,0))</f>
        <v/>
      </c>
      <c r="U98" s="260">
        <f>INDEX('Entrada de Dados'!R$6:R$196,MATCH($C98,'Entrada de Dados'!$A$6:$A$196,0))</f>
        <v/>
      </c>
      <c r="V98" s="260">
        <f>INDEX('Entrada de Dados'!S$6:S$196,MATCH($C98,'Entrada de Dados'!$A$6:$A$196,0))</f>
        <v/>
      </c>
      <c r="W98" s="260">
        <f>INDEX('Entrada de Dados'!T$6:T$196,MATCH($C98,'Entrada de Dados'!$A$6:$A$196,0))</f>
        <v/>
      </c>
      <c r="X98" s="260">
        <f>INDEX('Entrada de Dados'!U$6:U$196,MATCH($C98,'Entrada de Dados'!$A$6:$A$196,0))</f>
        <v/>
      </c>
    </row>
    <row r="99" ht="15" customHeight="1" s="163">
      <c r="A99" s="258" t="n">
        <v>6</v>
      </c>
      <c r="B99" s="258" t="n"/>
      <c r="C99" s="258" t="inlineStr">
        <is>
          <t>2023</t>
        </is>
      </c>
      <c r="D99" s="259">
        <f>HYPERLINK("#'ESCOLA SANTA MARIA GORETTI'!A1","ESCOLA SANTA MARIA GORETTI")</f>
        <v/>
      </c>
      <c r="E99" s="259" t="inlineStr">
        <is>
          <t>BINGEN</t>
        </is>
      </c>
      <c r="F99" s="260">
        <f>INDEX('Entrada de Dados'!C$6:C$196,MATCH($C99,'Entrada de Dados'!$A$6:$A$196,0))</f>
        <v/>
      </c>
      <c r="G99" s="260">
        <f>INDEX('Entrada de Dados'!D$6:D$196,MATCH($C99,'Entrada de Dados'!$A$6:$A$196,0))</f>
        <v/>
      </c>
      <c r="H99" s="260">
        <f>INDEX('Entrada de Dados'!E$6:E$196,MATCH($C99,'Entrada de Dados'!$A$6:$A$196,0))</f>
        <v/>
      </c>
      <c r="I99" s="260">
        <f>INDEX('Entrada de Dados'!F$6:F$196,MATCH($C99,'Entrada de Dados'!$A$6:$A$196,0))</f>
        <v/>
      </c>
      <c r="J99" s="260">
        <f>INDEX('Entrada de Dados'!G$6:G$196,MATCH($C99,'Entrada de Dados'!$A$6:$A$196,0))</f>
        <v/>
      </c>
      <c r="K99" s="260">
        <f>INDEX('Entrada de Dados'!H$6:H$196,MATCH($C99,'Entrada de Dados'!$A$6:$A$196,0))</f>
        <v/>
      </c>
      <c r="L99" s="260">
        <f>INDEX('Entrada de Dados'!I$6:I$196,MATCH($C99,'Entrada de Dados'!$A$6:$A$196,0))</f>
        <v/>
      </c>
      <c r="M99" s="260">
        <f>INDEX('Entrada de Dados'!J$6:J$196,MATCH($C99,'Entrada de Dados'!$A$6:$A$196,0))</f>
        <v/>
      </c>
      <c r="N99" s="260">
        <f>INDEX('Entrada de Dados'!K$6:K$196,MATCH($C99,'Entrada de Dados'!$A$6:$A$196,0))</f>
        <v/>
      </c>
      <c r="O99" s="260">
        <f>INDEX('Entrada de Dados'!L$6:L$196,MATCH($C99,'Entrada de Dados'!$A$6:$A$196,0))</f>
        <v/>
      </c>
      <c r="P99" s="260">
        <f>INDEX('Entrada de Dados'!M$6:M$196,MATCH($C99,'Entrada de Dados'!$A$6:$A$196,0))</f>
        <v/>
      </c>
      <c r="Q99" s="260">
        <f>INDEX('Entrada de Dados'!N$6:N$196,MATCH($C99,'Entrada de Dados'!$A$6:$A$196,0))</f>
        <v/>
      </c>
      <c r="R99" s="260">
        <f>INDEX('Entrada de Dados'!O$6:O$196,MATCH($C99,'Entrada de Dados'!$A$6:$A$196,0))</f>
        <v/>
      </c>
      <c r="S99" s="260">
        <f>INDEX('Entrada de Dados'!P$6:P$196,MATCH($C99,'Entrada de Dados'!$A$6:$A$196,0))</f>
        <v/>
      </c>
      <c r="T99" s="260">
        <f>INDEX('Entrada de Dados'!Q$6:Q$196,MATCH($C99,'Entrada de Dados'!$A$6:$A$196,0))</f>
        <v/>
      </c>
      <c r="U99" s="260">
        <f>INDEX('Entrada de Dados'!R$6:R$196,MATCH($C99,'Entrada de Dados'!$A$6:$A$196,0))</f>
        <v/>
      </c>
      <c r="V99" s="260">
        <f>INDEX('Entrada de Dados'!S$6:S$196,MATCH($C99,'Entrada de Dados'!$A$6:$A$196,0))</f>
        <v/>
      </c>
      <c r="W99" s="260">
        <f>INDEX('Entrada de Dados'!T$6:T$196,MATCH($C99,'Entrada de Dados'!$A$6:$A$196,0))</f>
        <v/>
      </c>
      <c r="X99" s="260">
        <f>INDEX('Entrada de Dados'!U$6:U$196,MATCH($C99,'Entrada de Dados'!$A$6:$A$196,0))</f>
        <v/>
      </c>
    </row>
    <row r="100" ht="15" customHeight="1" s="163">
      <c r="A100" s="258" t="n">
        <v>7</v>
      </c>
      <c r="B100" s="258" t="n"/>
      <c r="C100" s="258" t="inlineStr">
        <is>
          <t>2028</t>
        </is>
      </c>
      <c r="D100" s="259">
        <f>HYPERLINK("#'ESCOLA SÃO JOÃO BATISTA'!A1","ESCOLA SÃO JOÃO BATISTA")</f>
        <v/>
      </c>
      <c r="E100" s="259" t="inlineStr">
        <is>
          <t>BINGEN</t>
        </is>
      </c>
      <c r="F100" s="260">
        <f>INDEX('Entrada de Dados'!C$6:C$196,MATCH($C100,'Entrada de Dados'!$A$6:$A$196,0))</f>
        <v/>
      </c>
      <c r="G100" s="260">
        <f>INDEX('Entrada de Dados'!D$6:D$196,MATCH($C100,'Entrada de Dados'!$A$6:$A$196,0))</f>
        <v/>
      </c>
      <c r="H100" s="260">
        <f>INDEX('Entrada de Dados'!E$6:E$196,MATCH($C100,'Entrada de Dados'!$A$6:$A$196,0))</f>
        <v/>
      </c>
      <c r="I100" s="260">
        <f>INDEX('Entrada de Dados'!F$6:F$196,MATCH($C100,'Entrada de Dados'!$A$6:$A$196,0))</f>
        <v/>
      </c>
      <c r="J100" s="260">
        <f>INDEX('Entrada de Dados'!G$6:G$196,MATCH($C100,'Entrada de Dados'!$A$6:$A$196,0))</f>
        <v/>
      </c>
      <c r="K100" s="260">
        <f>INDEX('Entrada de Dados'!H$6:H$196,MATCH($C100,'Entrada de Dados'!$A$6:$A$196,0))</f>
        <v/>
      </c>
      <c r="L100" s="260">
        <f>INDEX('Entrada de Dados'!I$6:I$196,MATCH($C100,'Entrada de Dados'!$A$6:$A$196,0))</f>
        <v/>
      </c>
      <c r="M100" s="260">
        <f>INDEX('Entrada de Dados'!J$6:J$196,MATCH($C100,'Entrada de Dados'!$A$6:$A$196,0))</f>
        <v/>
      </c>
      <c r="N100" s="260">
        <f>INDEX('Entrada de Dados'!K$6:K$196,MATCH($C100,'Entrada de Dados'!$A$6:$A$196,0))</f>
        <v/>
      </c>
      <c r="O100" s="260">
        <f>INDEX('Entrada de Dados'!L$6:L$196,MATCH($C100,'Entrada de Dados'!$A$6:$A$196,0))</f>
        <v/>
      </c>
      <c r="P100" s="260">
        <f>INDEX('Entrada de Dados'!M$6:M$196,MATCH($C100,'Entrada de Dados'!$A$6:$A$196,0))</f>
        <v/>
      </c>
      <c r="Q100" s="260">
        <f>INDEX('Entrada de Dados'!N$6:N$196,MATCH($C100,'Entrada de Dados'!$A$6:$A$196,0))</f>
        <v/>
      </c>
      <c r="R100" s="260">
        <f>INDEX('Entrada de Dados'!O$6:O$196,MATCH($C100,'Entrada de Dados'!$A$6:$A$196,0))</f>
        <v/>
      </c>
      <c r="S100" s="260">
        <f>INDEX('Entrada de Dados'!P$6:P$196,MATCH($C100,'Entrada de Dados'!$A$6:$A$196,0))</f>
        <v/>
      </c>
      <c r="T100" s="260">
        <f>INDEX('Entrada de Dados'!Q$6:Q$196,MATCH($C100,'Entrada de Dados'!$A$6:$A$196,0))</f>
        <v/>
      </c>
      <c r="U100" s="260">
        <f>INDEX('Entrada de Dados'!R$6:R$196,MATCH($C100,'Entrada de Dados'!$A$6:$A$196,0))</f>
        <v/>
      </c>
      <c r="V100" s="260">
        <f>INDEX('Entrada de Dados'!S$6:S$196,MATCH($C100,'Entrada de Dados'!$A$6:$A$196,0))</f>
        <v/>
      </c>
      <c r="W100" s="260">
        <f>INDEX('Entrada de Dados'!T$6:T$196,MATCH($C100,'Entrada de Dados'!$A$6:$A$196,0))</f>
        <v/>
      </c>
      <c r="X100" s="260">
        <f>INDEX('Entrada de Dados'!U$6:U$196,MATCH($C100,'Entrada de Dados'!$A$6:$A$196,0))</f>
        <v/>
      </c>
    </row>
    <row r="101" ht="15" customHeight="1" s="163">
      <c r="A101" s="258" t="n">
        <v>8</v>
      </c>
      <c r="B101" s="258" t="n"/>
      <c r="C101" s="258" t="inlineStr">
        <is>
          <t>3007</t>
        </is>
      </c>
      <c r="D101" s="259">
        <f>HYPERLINK("#'CEI A SEMENTEIRA'!A1","CEI A SEMENTEIRA")</f>
        <v/>
      </c>
      <c r="E101" s="259" t="inlineStr">
        <is>
          <t>BINGEN</t>
        </is>
      </c>
      <c r="F101" s="260">
        <f>INDEX('Entrada de Dados'!C$6:C$196,MATCH($C101,'Entrada de Dados'!$A$6:$A$196,0))</f>
        <v/>
      </c>
      <c r="G101" s="260">
        <f>INDEX('Entrada de Dados'!D$6:D$196,MATCH($C101,'Entrada de Dados'!$A$6:$A$196,0))</f>
        <v/>
      </c>
      <c r="H101" s="260">
        <f>INDEX('Entrada de Dados'!E$6:E$196,MATCH($C101,'Entrada de Dados'!$A$6:$A$196,0))</f>
        <v/>
      </c>
      <c r="I101" s="260">
        <f>INDEX('Entrada de Dados'!F$6:F$196,MATCH($C101,'Entrada de Dados'!$A$6:$A$196,0))</f>
        <v/>
      </c>
      <c r="J101" s="260">
        <f>INDEX('Entrada de Dados'!G$6:G$196,MATCH($C101,'Entrada de Dados'!$A$6:$A$196,0))</f>
        <v/>
      </c>
      <c r="K101" s="260">
        <f>INDEX('Entrada de Dados'!H$6:H$196,MATCH($C101,'Entrada de Dados'!$A$6:$A$196,0))</f>
        <v/>
      </c>
      <c r="L101" s="260">
        <f>INDEX('Entrada de Dados'!I$6:I$196,MATCH($C101,'Entrada de Dados'!$A$6:$A$196,0))</f>
        <v/>
      </c>
      <c r="M101" s="260">
        <f>INDEX('Entrada de Dados'!J$6:J$196,MATCH($C101,'Entrada de Dados'!$A$6:$A$196,0))</f>
        <v/>
      </c>
      <c r="N101" s="260">
        <f>INDEX('Entrada de Dados'!K$6:K$196,MATCH($C101,'Entrada de Dados'!$A$6:$A$196,0))</f>
        <v/>
      </c>
      <c r="O101" s="260">
        <f>INDEX('Entrada de Dados'!L$6:L$196,MATCH($C101,'Entrada de Dados'!$A$6:$A$196,0))</f>
        <v/>
      </c>
      <c r="P101" s="260">
        <f>INDEX('Entrada de Dados'!M$6:M$196,MATCH($C101,'Entrada de Dados'!$A$6:$A$196,0))</f>
        <v/>
      </c>
      <c r="Q101" s="260">
        <f>INDEX('Entrada de Dados'!N$6:N$196,MATCH($C101,'Entrada de Dados'!$A$6:$A$196,0))</f>
        <v/>
      </c>
      <c r="R101" s="260">
        <f>INDEX('Entrada de Dados'!O$6:O$196,MATCH($C101,'Entrada de Dados'!$A$6:$A$196,0))</f>
        <v/>
      </c>
      <c r="S101" s="260">
        <f>INDEX('Entrada de Dados'!P$6:P$196,MATCH($C101,'Entrada de Dados'!$A$6:$A$196,0))</f>
        <v/>
      </c>
      <c r="T101" s="260">
        <f>INDEX('Entrada de Dados'!Q$6:Q$196,MATCH($C101,'Entrada de Dados'!$A$6:$A$196,0))</f>
        <v/>
      </c>
      <c r="U101" s="260">
        <f>INDEX('Entrada de Dados'!R$6:R$196,MATCH($C101,'Entrada de Dados'!$A$6:$A$196,0))</f>
        <v/>
      </c>
      <c r="V101" s="260">
        <f>INDEX('Entrada de Dados'!S$6:S$196,MATCH($C101,'Entrada de Dados'!$A$6:$A$196,0))</f>
        <v/>
      </c>
      <c r="W101" s="260">
        <f>INDEX('Entrada de Dados'!T$6:T$196,MATCH($C101,'Entrada de Dados'!$A$6:$A$196,0))</f>
        <v/>
      </c>
      <c r="X101" s="260">
        <f>INDEX('Entrada de Dados'!U$6:U$196,MATCH($C101,'Entrada de Dados'!$A$6:$A$196,0))</f>
        <v/>
      </c>
    </row>
    <row r="102" ht="15" customHeight="1" s="163">
      <c r="A102" s="258" t="n">
        <v>9</v>
      </c>
      <c r="B102" s="258" t="n"/>
      <c r="C102" s="258" t="inlineStr">
        <is>
          <t>3020</t>
        </is>
      </c>
      <c r="D102" s="259">
        <f>HYPERLINK("#'CEI VILA SAO JOSE'!A1","CEI VILA SAO JOSE")</f>
        <v/>
      </c>
      <c r="E102" s="259" t="inlineStr">
        <is>
          <t>BINGEN</t>
        </is>
      </c>
      <c r="F102" s="260">
        <f>INDEX('Entrada de Dados'!C$6:C$196,MATCH($C102,'Entrada de Dados'!$A$6:$A$196,0))</f>
        <v/>
      </c>
      <c r="G102" s="260">
        <f>INDEX('Entrada de Dados'!D$6:D$196,MATCH($C102,'Entrada de Dados'!$A$6:$A$196,0))</f>
        <v/>
      </c>
      <c r="H102" s="260">
        <f>INDEX('Entrada de Dados'!E$6:E$196,MATCH($C102,'Entrada de Dados'!$A$6:$A$196,0))</f>
        <v/>
      </c>
      <c r="I102" s="260">
        <f>INDEX('Entrada de Dados'!F$6:F$196,MATCH($C102,'Entrada de Dados'!$A$6:$A$196,0))</f>
        <v/>
      </c>
      <c r="J102" s="260">
        <f>INDEX('Entrada de Dados'!G$6:G$196,MATCH($C102,'Entrada de Dados'!$A$6:$A$196,0))</f>
        <v/>
      </c>
      <c r="K102" s="260">
        <f>INDEX('Entrada de Dados'!H$6:H$196,MATCH($C102,'Entrada de Dados'!$A$6:$A$196,0))</f>
        <v/>
      </c>
      <c r="L102" s="260">
        <f>INDEX('Entrada de Dados'!I$6:I$196,MATCH($C102,'Entrada de Dados'!$A$6:$A$196,0))</f>
        <v/>
      </c>
      <c r="M102" s="260">
        <f>INDEX('Entrada de Dados'!J$6:J$196,MATCH($C102,'Entrada de Dados'!$A$6:$A$196,0))</f>
        <v/>
      </c>
      <c r="N102" s="260">
        <f>INDEX('Entrada de Dados'!K$6:K$196,MATCH($C102,'Entrada de Dados'!$A$6:$A$196,0))</f>
        <v/>
      </c>
      <c r="O102" s="260">
        <f>INDEX('Entrada de Dados'!L$6:L$196,MATCH($C102,'Entrada de Dados'!$A$6:$A$196,0))</f>
        <v/>
      </c>
      <c r="P102" s="260">
        <f>INDEX('Entrada de Dados'!M$6:M$196,MATCH($C102,'Entrada de Dados'!$A$6:$A$196,0))</f>
        <v/>
      </c>
      <c r="Q102" s="260">
        <f>INDEX('Entrada de Dados'!N$6:N$196,MATCH($C102,'Entrada de Dados'!$A$6:$A$196,0))</f>
        <v/>
      </c>
      <c r="R102" s="260">
        <f>INDEX('Entrada de Dados'!O$6:O$196,MATCH($C102,'Entrada de Dados'!$A$6:$A$196,0))</f>
        <v/>
      </c>
      <c r="S102" s="260">
        <f>INDEX('Entrada de Dados'!P$6:P$196,MATCH($C102,'Entrada de Dados'!$A$6:$A$196,0))</f>
        <v/>
      </c>
      <c r="T102" s="260">
        <f>INDEX('Entrada de Dados'!Q$6:Q$196,MATCH($C102,'Entrada de Dados'!$A$6:$A$196,0))</f>
        <v/>
      </c>
      <c r="U102" s="260">
        <f>INDEX('Entrada de Dados'!R$6:R$196,MATCH($C102,'Entrada de Dados'!$A$6:$A$196,0))</f>
        <v/>
      </c>
      <c r="V102" s="260">
        <f>INDEX('Entrada de Dados'!S$6:S$196,MATCH($C102,'Entrada de Dados'!$A$6:$A$196,0))</f>
        <v/>
      </c>
      <c r="W102" s="260">
        <f>INDEX('Entrada de Dados'!T$6:T$196,MATCH($C102,'Entrada de Dados'!$A$6:$A$196,0))</f>
        <v/>
      </c>
      <c r="X102" s="260">
        <f>INDEX('Entrada de Dados'!U$6:U$196,MATCH($C102,'Entrada de Dados'!$A$6:$A$196,0))</f>
        <v/>
      </c>
    </row>
    <row r="103" ht="21.75" customHeight="1" s="163">
      <c r="A103" s="265" t="inlineStr">
        <is>
          <t>Peso previsto:</t>
        </is>
      </c>
      <c r="C103" s="266">
        <f>SUM(F94:F102)+SUM(G94:G102)+SUM(H94:H102)+SUM(I94:I102)+SUM(J94:J102)+SUM(K94:K102)+SUM(L94:L102)+SUM(M94:M102)+SUM(N94:N102)+SUM(O94:O102)+SUM(P94:P102)+SUM(Q94:Q102)+SUM(R94:R102)+SUM(S94:S102)+SUM(T94:T102)+SUM(U94:U102)+SUM(W94:W102)+SUM(X94:X102)</f>
        <v/>
      </c>
      <c r="D103" s="265" t="inlineStr">
        <is>
          <t>Peso embarcado (kg):</t>
        </is>
      </c>
      <c r="F103" s="267" t="n"/>
      <c r="G103" s="265" t="inlineStr">
        <is>
          <t>Veículo:</t>
        </is>
      </c>
      <c r="I103" s="267" t="n"/>
      <c r="J103" s="268" t="n"/>
      <c r="K103" s="265" t="inlineStr">
        <is>
          <t>Motorista:</t>
        </is>
      </c>
      <c r="M103" s="267" t="n"/>
      <c r="N103" s="269" t="n"/>
      <c r="O103" s="269" t="n"/>
      <c r="P103" s="269" t="n"/>
      <c r="Q103" s="269" t="n"/>
      <c r="R103" s="269" t="n"/>
      <c r="S103" s="269" t="n"/>
      <c r="T103" s="269" t="n"/>
      <c r="U103" s="269" t="n"/>
      <c r="V103" s="269" t="n"/>
      <c r="W103" s="269" t="n"/>
      <c r="X103" s="268" t="n"/>
    </row>
    <row r="105" ht="19.5" customHeight="1" s="163">
      <c r="A105" s="186" t="inlineStr">
        <is>
          <t>ROTA S7 — MOSELA - PEDRAS BRANCAS · KOMBI · 10 escolas · 9 paradas físicas</t>
        </is>
      </c>
    </row>
    <row r="106" ht="25.5" customHeight="1" s="163">
      <c r="A106" s="256" t="inlineStr">
        <is>
          <t>Sequência-base: Galpão Itaipava &gt; Mosela &gt; Pedras Brancas &gt; Galpão   Atenção: Subidas, vias locais e pouco espaço de parada. Rua Mosela, 1445 é uma única parada para duas escolas.</t>
        </is>
      </c>
    </row>
    <row r="107" ht="30" customHeight="1" s="163">
      <c r="A107" s="257" t="inlineStr">
        <is>
          <t>PAR.</t>
        </is>
      </c>
      <c r="B107" s="257" t="inlineStr">
        <is>
          <t>SUB</t>
        </is>
      </c>
      <c r="C107" s="257" t="inlineStr">
        <is>
          <t>CÓDIGO</t>
        </is>
      </c>
      <c r="D107" s="257" t="inlineStr">
        <is>
          <t>ESCOLA</t>
        </is>
      </c>
      <c r="E107" s="257" t="inlineStr">
        <is>
          <t>BAIRRO/CORREDOR</t>
        </is>
      </c>
      <c r="F107" s="257" t="inlineStr">
        <is>
          <t>Abacate</t>
        </is>
      </c>
      <c r="G107" s="257" t="inlineStr">
        <is>
          <t>Abobrinha</t>
        </is>
      </c>
      <c r="H107" s="257" t="inlineStr">
        <is>
          <t>Agrião</t>
        </is>
      </c>
      <c r="I107" s="257" t="inlineStr">
        <is>
          <t>Alface lisa</t>
        </is>
      </c>
      <c r="J107" s="257" t="inlineStr">
        <is>
          <t>Banana prata</t>
        </is>
      </c>
      <c r="K107" s="257" t="inlineStr">
        <is>
          <t>Batata inglesa</t>
        </is>
      </c>
      <c r="L107" s="257" t="inlineStr">
        <is>
          <t>Beterraba</t>
        </is>
      </c>
      <c r="M107" s="257" t="inlineStr">
        <is>
          <t>Brócolis</t>
        </is>
      </c>
      <c r="N107" s="257" t="inlineStr">
        <is>
          <t>Cenoura</t>
        </is>
      </c>
      <c r="O107" s="257" t="inlineStr">
        <is>
          <t>Cheiro verde</t>
        </is>
      </c>
      <c r="P107" s="257" t="inlineStr">
        <is>
          <t>Chuchu</t>
        </is>
      </c>
      <c r="Q107" s="257" t="inlineStr">
        <is>
          <t>Couve manteiga</t>
        </is>
      </c>
      <c r="R107" s="257" t="inlineStr">
        <is>
          <t>Couve-flor</t>
        </is>
      </c>
      <c r="S107" s="257" t="inlineStr">
        <is>
          <t>Espinafre</t>
        </is>
      </c>
      <c r="T107" s="257" t="inlineStr">
        <is>
          <t>Maçã gala</t>
        </is>
      </c>
      <c r="U107" s="257" t="inlineStr">
        <is>
          <t>Mel</t>
        </is>
      </c>
      <c r="V107" s="257" t="inlineStr">
        <is>
          <t>Ovos (dz)</t>
        </is>
      </c>
      <c r="W107" s="257" t="inlineStr">
        <is>
          <t>Repolho</t>
        </is>
      </c>
      <c r="X107" s="257" t="inlineStr">
        <is>
          <t>Tangerina ponkan</t>
        </is>
      </c>
    </row>
    <row r="108" ht="15" customHeight="1" s="163">
      <c r="A108" s="258" t="n">
        <v>1</v>
      </c>
      <c r="B108" s="258" t="n"/>
      <c r="C108" s="258" t="inlineStr">
        <is>
          <t>3032</t>
        </is>
      </c>
      <c r="D108" s="259">
        <f>HYPERLINK("#'CEI DONA ESPERANZA DE BOURBON D'!A1","CEI DONA ESPERANZA DE BOURBON DE ORLEANS E BRAGANÇA")</f>
        <v/>
      </c>
      <c r="E108" s="259" t="inlineStr">
        <is>
          <t>MOSELA</t>
        </is>
      </c>
      <c r="F108" s="260">
        <f>INDEX('Entrada de Dados'!C$6:C$196,MATCH($C108,'Entrada de Dados'!$A$6:$A$196,0))</f>
        <v/>
      </c>
      <c r="G108" s="260">
        <f>INDEX('Entrada de Dados'!D$6:D$196,MATCH($C108,'Entrada de Dados'!$A$6:$A$196,0))</f>
        <v/>
      </c>
      <c r="H108" s="260">
        <f>INDEX('Entrada de Dados'!E$6:E$196,MATCH($C108,'Entrada de Dados'!$A$6:$A$196,0))</f>
        <v/>
      </c>
      <c r="I108" s="260">
        <f>INDEX('Entrada de Dados'!F$6:F$196,MATCH($C108,'Entrada de Dados'!$A$6:$A$196,0))</f>
        <v/>
      </c>
      <c r="J108" s="260">
        <f>INDEX('Entrada de Dados'!G$6:G$196,MATCH($C108,'Entrada de Dados'!$A$6:$A$196,0))</f>
        <v/>
      </c>
      <c r="K108" s="260">
        <f>INDEX('Entrada de Dados'!H$6:H$196,MATCH($C108,'Entrada de Dados'!$A$6:$A$196,0))</f>
        <v/>
      </c>
      <c r="L108" s="260">
        <f>INDEX('Entrada de Dados'!I$6:I$196,MATCH($C108,'Entrada de Dados'!$A$6:$A$196,0))</f>
        <v/>
      </c>
      <c r="M108" s="260">
        <f>INDEX('Entrada de Dados'!J$6:J$196,MATCH($C108,'Entrada de Dados'!$A$6:$A$196,0))</f>
        <v/>
      </c>
      <c r="N108" s="260">
        <f>INDEX('Entrada de Dados'!K$6:K$196,MATCH($C108,'Entrada de Dados'!$A$6:$A$196,0))</f>
        <v/>
      </c>
      <c r="O108" s="260">
        <f>INDEX('Entrada de Dados'!L$6:L$196,MATCH($C108,'Entrada de Dados'!$A$6:$A$196,0))</f>
        <v/>
      </c>
      <c r="P108" s="260">
        <f>INDEX('Entrada de Dados'!M$6:M$196,MATCH($C108,'Entrada de Dados'!$A$6:$A$196,0))</f>
        <v/>
      </c>
      <c r="Q108" s="260">
        <f>INDEX('Entrada de Dados'!N$6:N$196,MATCH($C108,'Entrada de Dados'!$A$6:$A$196,0))</f>
        <v/>
      </c>
      <c r="R108" s="260">
        <f>INDEX('Entrada de Dados'!O$6:O$196,MATCH($C108,'Entrada de Dados'!$A$6:$A$196,0))</f>
        <v/>
      </c>
      <c r="S108" s="260">
        <f>INDEX('Entrada de Dados'!P$6:P$196,MATCH($C108,'Entrada de Dados'!$A$6:$A$196,0))</f>
        <v/>
      </c>
      <c r="T108" s="260">
        <f>INDEX('Entrada de Dados'!Q$6:Q$196,MATCH($C108,'Entrada de Dados'!$A$6:$A$196,0))</f>
        <v/>
      </c>
      <c r="U108" s="260">
        <f>INDEX('Entrada de Dados'!R$6:R$196,MATCH($C108,'Entrada de Dados'!$A$6:$A$196,0))</f>
        <v/>
      </c>
      <c r="V108" s="260">
        <f>INDEX('Entrada de Dados'!S$6:S$196,MATCH($C108,'Entrada de Dados'!$A$6:$A$196,0))</f>
        <v/>
      </c>
      <c r="W108" s="260">
        <f>INDEX('Entrada de Dados'!T$6:T$196,MATCH($C108,'Entrada de Dados'!$A$6:$A$196,0))</f>
        <v/>
      </c>
      <c r="X108" s="260">
        <f>INDEX('Entrada de Dados'!U$6:U$196,MATCH($C108,'Entrada de Dados'!$A$6:$A$196,0))</f>
        <v/>
      </c>
    </row>
    <row r="109" ht="15" customHeight="1" s="163">
      <c r="A109" s="258" t="n">
        <v>2</v>
      </c>
      <c r="B109" s="258" t="n"/>
      <c r="C109" s="258" t="inlineStr">
        <is>
          <t>1003</t>
        </is>
      </c>
      <c r="D109" s="259">
        <f>HYPERLINK("#'E M BATAILLARD'!A1","E M BATAILLARD")</f>
        <v/>
      </c>
      <c r="E109" s="259" t="inlineStr">
        <is>
          <t>MOSELA</t>
        </is>
      </c>
      <c r="F109" s="260">
        <f>INDEX('Entrada de Dados'!C$6:C$196,MATCH($C109,'Entrada de Dados'!$A$6:$A$196,0))</f>
        <v/>
      </c>
      <c r="G109" s="260">
        <f>INDEX('Entrada de Dados'!D$6:D$196,MATCH($C109,'Entrada de Dados'!$A$6:$A$196,0))</f>
        <v/>
      </c>
      <c r="H109" s="260">
        <f>INDEX('Entrada de Dados'!E$6:E$196,MATCH($C109,'Entrada de Dados'!$A$6:$A$196,0))</f>
        <v/>
      </c>
      <c r="I109" s="260">
        <f>INDEX('Entrada de Dados'!F$6:F$196,MATCH($C109,'Entrada de Dados'!$A$6:$A$196,0))</f>
        <v/>
      </c>
      <c r="J109" s="260">
        <f>INDEX('Entrada de Dados'!G$6:G$196,MATCH($C109,'Entrada de Dados'!$A$6:$A$196,0))</f>
        <v/>
      </c>
      <c r="K109" s="260">
        <f>INDEX('Entrada de Dados'!H$6:H$196,MATCH($C109,'Entrada de Dados'!$A$6:$A$196,0))</f>
        <v/>
      </c>
      <c r="L109" s="260">
        <f>INDEX('Entrada de Dados'!I$6:I$196,MATCH($C109,'Entrada de Dados'!$A$6:$A$196,0))</f>
        <v/>
      </c>
      <c r="M109" s="260">
        <f>INDEX('Entrada de Dados'!J$6:J$196,MATCH($C109,'Entrada de Dados'!$A$6:$A$196,0))</f>
        <v/>
      </c>
      <c r="N109" s="260">
        <f>INDEX('Entrada de Dados'!K$6:K$196,MATCH($C109,'Entrada de Dados'!$A$6:$A$196,0))</f>
        <v/>
      </c>
      <c r="O109" s="260">
        <f>INDEX('Entrada de Dados'!L$6:L$196,MATCH($C109,'Entrada de Dados'!$A$6:$A$196,0))</f>
        <v/>
      </c>
      <c r="P109" s="260">
        <f>INDEX('Entrada de Dados'!M$6:M$196,MATCH($C109,'Entrada de Dados'!$A$6:$A$196,0))</f>
        <v/>
      </c>
      <c r="Q109" s="260">
        <f>INDEX('Entrada de Dados'!N$6:N$196,MATCH($C109,'Entrada de Dados'!$A$6:$A$196,0))</f>
        <v/>
      </c>
      <c r="R109" s="260">
        <f>INDEX('Entrada de Dados'!O$6:O$196,MATCH($C109,'Entrada de Dados'!$A$6:$A$196,0))</f>
        <v/>
      </c>
      <c r="S109" s="260">
        <f>INDEX('Entrada de Dados'!P$6:P$196,MATCH($C109,'Entrada de Dados'!$A$6:$A$196,0))</f>
        <v/>
      </c>
      <c r="T109" s="260">
        <f>INDEX('Entrada de Dados'!Q$6:Q$196,MATCH($C109,'Entrada de Dados'!$A$6:$A$196,0))</f>
        <v/>
      </c>
      <c r="U109" s="260">
        <f>INDEX('Entrada de Dados'!R$6:R$196,MATCH($C109,'Entrada de Dados'!$A$6:$A$196,0))</f>
        <v/>
      </c>
      <c r="V109" s="260">
        <f>INDEX('Entrada de Dados'!S$6:S$196,MATCH($C109,'Entrada de Dados'!$A$6:$A$196,0))</f>
        <v/>
      </c>
      <c r="W109" s="260">
        <f>INDEX('Entrada de Dados'!T$6:T$196,MATCH($C109,'Entrada de Dados'!$A$6:$A$196,0))</f>
        <v/>
      </c>
      <c r="X109" s="260">
        <f>INDEX('Entrada de Dados'!U$6:U$196,MATCH($C109,'Entrada de Dados'!$A$6:$A$196,0))</f>
        <v/>
      </c>
    </row>
    <row r="110" ht="15" customHeight="1" s="163">
      <c r="A110" s="258" t="n">
        <v>3</v>
      </c>
      <c r="B110" s="258" t="n"/>
      <c r="C110" s="258" t="inlineStr">
        <is>
          <t>3021</t>
        </is>
      </c>
      <c r="D110" s="259">
        <f>HYPERLINK("#'CEI MARIA THEREZA KLING DO VALL'!A1","CEI MARIA THEREZA KLING DO VALLE")</f>
        <v/>
      </c>
      <c r="E110" s="259" t="inlineStr">
        <is>
          <t>MOSELA</t>
        </is>
      </c>
      <c r="F110" s="260">
        <f>INDEX('Entrada de Dados'!C$6:C$196,MATCH($C110,'Entrada de Dados'!$A$6:$A$196,0))</f>
        <v/>
      </c>
      <c r="G110" s="260">
        <f>INDEX('Entrada de Dados'!D$6:D$196,MATCH($C110,'Entrada de Dados'!$A$6:$A$196,0))</f>
        <v/>
      </c>
      <c r="H110" s="260">
        <f>INDEX('Entrada de Dados'!E$6:E$196,MATCH($C110,'Entrada de Dados'!$A$6:$A$196,0))</f>
        <v/>
      </c>
      <c r="I110" s="260">
        <f>INDEX('Entrada de Dados'!F$6:F$196,MATCH($C110,'Entrada de Dados'!$A$6:$A$196,0))</f>
        <v/>
      </c>
      <c r="J110" s="260">
        <f>INDEX('Entrada de Dados'!G$6:G$196,MATCH($C110,'Entrada de Dados'!$A$6:$A$196,0))</f>
        <v/>
      </c>
      <c r="K110" s="260">
        <f>INDEX('Entrada de Dados'!H$6:H$196,MATCH($C110,'Entrada de Dados'!$A$6:$A$196,0))</f>
        <v/>
      </c>
      <c r="L110" s="260">
        <f>INDEX('Entrada de Dados'!I$6:I$196,MATCH($C110,'Entrada de Dados'!$A$6:$A$196,0))</f>
        <v/>
      </c>
      <c r="M110" s="260">
        <f>INDEX('Entrada de Dados'!J$6:J$196,MATCH($C110,'Entrada de Dados'!$A$6:$A$196,0))</f>
        <v/>
      </c>
      <c r="N110" s="260">
        <f>INDEX('Entrada de Dados'!K$6:K$196,MATCH($C110,'Entrada de Dados'!$A$6:$A$196,0))</f>
        <v/>
      </c>
      <c r="O110" s="260">
        <f>INDEX('Entrada de Dados'!L$6:L$196,MATCH($C110,'Entrada de Dados'!$A$6:$A$196,0))</f>
        <v/>
      </c>
      <c r="P110" s="260">
        <f>INDEX('Entrada de Dados'!M$6:M$196,MATCH($C110,'Entrada de Dados'!$A$6:$A$196,0))</f>
        <v/>
      </c>
      <c r="Q110" s="260">
        <f>INDEX('Entrada de Dados'!N$6:N$196,MATCH($C110,'Entrada de Dados'!$A$6:$A$196,0))</f>
        <v/>
      </c>
      <c r="R110" s="260">
        <f>INDEX('Entrada de Dados'!O$6:O$196,MATCH($C110,'Entrada de Dados'!$A$6:$A$196,0))</f>
        <v/>
      </c>
      <c r="S110" s="260">
        <f>INDEX('Entrada de Dados'!P$6:P$196,MATCH($C110,'Entrada de Dados'!$A$6:$A$196,0))</f>
        <v/>
      </c>
      <c r="T110" s="260">
        <f>INDEX('Entrada de Dados'!Q$6:Q$196,MATCH($C110,'Entrada de Dados'!$A$6:$A$196,0))</f>
        <v/>
      </c>
      <c r="U110" s="260">
        <f>INDEX('Entrada de Dados'!R$6:R$196,MATCH($C110,'Entrada de Dados'!$A$6:$A$196,0))</f>
        <v/>
      </c>
      <c r="V110" s="260">
        <f>INDEX('Entrada de Dados'!S$6:S$196,MATCH($C110,'Entrada de Dados'!$A$6:$A$196,0))</f>
        <v/>
      </c>
      <c r="W110" s="260">
        <f>INDEX('Entrada de Dados'!T$6:T$196,MATCH($C110,'Entrada de Dados'!$A$6:$A$196,0))</f>
        <v/>
      </c>
      <c r="X110" s="260">
        <f>INDEX('Entrada de Dados'!U$6:U$196,MATCH($C110,'Entrada de Dados'!$A$6:$A$196,0))</f>
        <v/>
      </c>
    </row>
    <row r="111" ht="15" customHeight="1" s="163">
      <c r="A111" s="258" t="n">
        <v>4</v>
      </c>
      <c r="B111" s="258" t="n"/>
      <c r="C111" s="258" t="inlineStr">
        <is>
          <t>4021</t>
        </is>
      </c>
      <c r="D111" s="259">
        <f>HYPERLINK("#'CENTRO DE EDUCAÇÃO INFANTIL SÃO'!A1","CENTRO DE EDUCAÇÃO INFANTIL SÃO JUDAS TADEU")</f>
        <v/>
      </c>
      <c r="E111" s="259" t="inlineStr">
        <is>
          <t>MOSELA</t>
        </is>
      </c>
      <c r="F111" s="260">
        <f>INDEX('Entrada de Dados'!C$6:C$196,MATCH($C111,'Entrada de Dados'!$A$6:$A$196,0))</f>
        <v/>
      </c>
      <c r="G111" s="260">
        <f>INDEX('Entrada de Dados'!D$6:D$196,MATCH($C111,'Entrada de Dados'!$A$6:$A$196,0))</f>
        <v/>
      </c>
      <c r="H111" s="260">
        <f>INDEX('Entrada de Dados'!E$6:E$196,MATCH($C111,'Entrada de Dados'!$A$6:$A$196,0))</f>
        <v/>
      </c>
      <c r="I111" s="260">
        <f>INDEX('Entrada de Dados'!F$6:F$196,MATCH($C111,'Entrada de Dados'!$A$6:$A$196,0))</f>
        <v/>
      </c>
      <c r="J111" s="260">
        <f>INDEX('Entrada de Dados'!G$6:G$196,MATCH($C111,'Entrada de Dados'!$A$6:$A$196,0))</f>
        <v/>
      </c>
      <c r="K111" s="260">
        <f>INDEX('Entrada de Dados'!H$6:H$196,MATCH($C111,'Entrada de Dados'!$A$6:$A$196,0))</f>
        <v/>
      </c>
      <c r="L111" s="260">
        <f>INDEX('Entrada de Dados'!I$6:I$196,MATCH($C111,'Entrada de Dados'!$A$6:$A$196,0))</f>
        <v/>
      </c>
      <c r="M111" s="260">
        <f>INDEX('Entrada de Dados'!J$6:J$196,MATCH($C111,'Entrada de Dados'!$A$6:$A$196,0))</f>
        <v/>
      </c>
      <c r="N111" s="260">
        <f>INDEX('Entrada de Dados'!K$6:K$196,MATCH($C111,'Entrada de Dados'!$A$6:$A$196,0))</f>
        <v/>
      </c>
      <c r="O111" s="260">
        <f>INDEX('Entrada de Dados'!L$6:L$196,MATCH($C111,'Entrada de Dados'!$A$6:$A$196,0))</f>
        <v/>
      </c>
      <c r="P111" s="260">
        <f>INDEX('Entrada de Dados'!M$6:M$196,MATCH($C111,'Entrada de Dados'!$A$6:$A$196,0))</f>
        <v/>
      </c>
      <c r="Q111" s="260">
        <f>INDEX('Entrada de Dados'!N$6:N$196,MATCH($C111,'Entrada de Dados'!$A$6:$A$196,0))</f>
        <v/>
      </c>
      <c r="R111" s="260">
        <f>INDEX('Entrada de Dados'!O$6:O$196,MATCH($C111,'Entrada de Dados'!$A$6:$A$196,0))</f>
        <v/>
      </c>
      <c r="S111" s="260">
        <f>INDEX('Entrada de Dados'!P$6:P$196,MATCH($C111,'Entrada de Dados'!$A$6:$A$196,0))</f>
        <v/>
      </c>
      <c r="T111" s="260">
        <f>INDEX('Entrada de Dados'!Q$6:Q$196,MATCH($C111,'Entrada de Dados'!$A$6:$A$196,0))</f>
        <v/>
      </c>
      <c r="U111" s="260">
        <f>INDEX('Entrada de Dados'!R$6:R$196,MATCH($C111,'Entrada de Dados'!$A$6:$A$196,0))</f>
        <v/>
      </c>
      <c r="V111" s="260">
        <f>INDEX('Entrada de Dados'!S$6:S$196,MATCH($C111,'Entrada de Dados'!$A$6:$A$196,0))</f>
        <v/>
      </c>
      <c r="W111" s="260">
        <f>INDEX('Entrada de Dados'!T$6:T$196,MATCH($C111,'Entrada de Dados'!$A$6:$A$196,0))</f>
        <v/>
      </c>
      <c r="X111" s="260">
        <f>INDEX('Entrada de Dados'!U$6:U$196,MATCH($C111,'Entrada de Dados'!$A$6:$A$196,0))</f>
        <v/>
      </c>
    </row>
    <row r="112" ht="15" customHeight="1" s="163">
      <c r="A112" s="258" t="n">
        <v>5</v>
      </c>
      <c r="B112" s="258" t="n"/>
      <c r="C112" s="258" t="inlineStr">
        <is>
          <t>3057</t>
        </is>
      </c>
      <c r="D112" s="259">
        <f>HYPERLINK("#'CEI GIUSEPPE-NEVA VOLONTERIO'!A1","CEI GIUSEPPE-NEVA VOLONTERIO")</f>
        <v/>
      </c>
      <c r="E112" s="259" t="inlineStr">
        <is>
          <t>MOSELA</t>
        </is>
      </c>
      <c r="F112" s="260">
        <f>INDEX('Entrada de Dados'!C$6:C$196,MATCH($C112,'Entrada de Dados'!$A$6:$A$196,0))</f>
        <v/>
      </c>
      <c r="G112" s="260">
        <f>INDEX('Entrada de Dados'!D$6:D$196,MATCH($C112,'Entrada de Dados'!$A$6:$A$196,0))</f>
        <v/>
      </c>
      <c r="H112" s="260">
        <f>INDEX('Entrada de Dados'!E$6:E$196,MATCH($C112,'Entrada de Dados'!$A$6:$A$196,0))</f>
        <v/>
      </c>
      <c r="I112" s="260">
        <f>INDEX('Entrada de Dados'!F$6:F$196,MATCH($C112,'Entrada de Dados'!$A$6:$A$196,0))</f>
        <v/>
      </c>
      <c r="J112" s="260">
        <f>INDEX('Entrada de Dados'!G$6:G$196,MATCH($C112,'Entrada de Dados'!$A$6:$A$196,0))</f>
        <v/>
      </c>
      <c r="K112" s="260">
        <f>INDEX('Entrada de Dados'!H$6:H$196,MATCH($C112,'Entrada de Dados'!$A$6:$A$196,0))</f>
        <v/>
      </c>
      <c r="L112" s="260">
        <f>INDEX('Entrada de Dados'!I$6:I$196,MATCH($C112,'Entrada de Dados'!$A$6:$A$196,0))</f>
        <v/>
      </c>
      <c r="M112" s="260">
        <f>INDEX('Entrada de Dados'!J$6:J$196,MATCH($C112,'Entrada de Dados'!$A$6:$A$196,0))</f>
        <v/>
      </c>
      <c r="N112" s="260">
        <f>INDEX('Entrada de Dados'!K$6:K$196,MATCH($C112,'Entrada de Dados'!$A$6:$A$196,0))</f>
        <v/>
      </c>
      <c r="O112" s="260">
        <f>INDEX('Entrada de Dados'!L$6:L$196,MATCH($C112,'Entrada de Dados'!$A$6:$A$196,0))</f>
        <v/>
      </c>
      <c r="P112" s="260">
        <f>INDEX('Entrada de Dados'!M$6:M$196,MATCH($C112,'Entrada de Dados'!$A$6:$A$196,0))</f>
        <v/>
      </c>
      <c r="Q112" s="260">
        <f>INDEX('Entrada de Dados'!N$6:N$196,MATCH($C112,'Entrada de Dados'!$A$6:$A$196,0))</f>
        <v/>
      </c>
      <c r="R112" s="260">
        <f>INDEX('Entrada de Dados'!O$6:O$196,MATCH($C112,'Entrada de Dados'!$A$6:$A$196,0))</f>
        <v/>
      </c>
      <c r="S112" s="260">
        <f>INDEX('Entrada de Dados'!P$6:P$196,MATCH($C112,'Entrada de Dados'!$A$6:$A$196,0))</f>
        <v/>
      </c>
      <c r="T112" s="260">
        <f>INDEX('Entrada de Dados'!Q$6:Q$196,MATCH($C112,'Entrada de Dados'!$A$6:$A$196,0))</f>
        <v/>
      </c>
      <c r="U112" s="260">
        <f>INDEX('Entrada de Dados'!R$6:R$196,MATCH($C112,'Entrada de Dados'!$A$6:$A$196,0))</f>
        <v/>
      </c>
      <c r="V112" s="260">
        <f>INDEX('Entrada de Dados'!S$6:S$196,MATCH($C112,'Entrada de Dados'!$A$6:$A$196,0))</f>
        <v/>
      </c>
      <c r="W112" s="260">
        <f>INDEX('Entrada de Dados'!T$6:T$196,MATCH($C112,'Entrada de Dados'!$A$6:$A$196,0))</f>
        <v/>
      </c>
      <c r="X112" s="260">
        <f>INDEX('Entrada de Dados'!U$6:U$196,MATCH($C112,'Entrada de Dados'!$A$6:$A$196,0))</f>
        <v/>
      </c>
    </row>
    <row r="113" ht="15" customHeight="1" s="163">
      <c r="A113" s="258" t="n">
        <v>6</v>
      </c>
      <c r="B113" s="258" t="n"/>
      <c r="C113" s="258" t="inlineStr">
        <is>
          <t>1079</t>
        </is>
      </c>
      <c r="D113" s="259">
        <f>HYPERLINK("#'E M SALVADOR KLING'!A1","E M SALVADOR KLING")</f>
        <v/>
      </c>
      <c r="E113" s="259" t="inlineStr">
        <is>
          <t>MOSELA</t>
        </is>
      </c>
      <c r="F113" s="260">
        <f>INDEX('Entrada de Dados'!C$6:C$196,MATCH($C113,'Entrada de Dados'!$A$6:$A$196,0))</f>
        <v/>
      </c>
      <c r="G113" s="260">
        <f>INDEX('Entrada de Dados'!D$6:D$196,MATCH($C113,'Entrada de Dados'!$A$6:$A$196,0))</f>
        <v/>
      </c>
      <c r="H113" s="260">
        <f>INDEX('Entrada de Dados'!E$6:E$196,MATCH($C113,'Entrada de Dados'!$A$6:$A$196,0))</f>
        <v/>
      </c>
      <c r="I113" s="260">
        <f>INDEX('Entrada de Dados'!F$6:F$196,MATCH($C113,'Entrada de Dados'!$A$6:$A$196,0))</f>
        <v/>
      </c>
      <c r="J113" s="260">
        <f>INDEX('Entrada de Dados'!G$6:G$196,MATCH($C113,'Entrada de Dados'!$A$6:$A$196,0))</f>
        <v/>
      </c>
      <c r="K113" s="260">
        <f>INDEX('Entrada de Dados'!H$6:H$196,MATCH($C113,'Entrada de Dados'!$A$6:$A$196,0))</f>
        <v/>
      </c>
      <c r="L113" s="260">
        <f>INDEX('Entrada de Dados'!I$6:I$196,MATCH($C113,'Entrada de Dados'!$A$6:$A$196,0))</f>
        <v/>
      </c>
      <c r="M113" s="260">
        <f>INDEX('Entrada de Dados'!J$6:J$196,MATCH($C113,'Entrada de Dados'!$A$6:$A$196,0))</f>
        <v/>
      </c>
      <c r="N113" s="260">
        <f>INDEX('Entrada de Dados'!K$6:K$196,MATCH($C113,'Entrada de Dados'!$A$6:$A$196,0))</f>
        <v/>
      </c>
      <c r="O113" s="260">
        <f>INDEX('Entrada de Dados'!L$6:L$196,MATCH($C113,'Entrada de Dados'!$A$6:$A$196,0))</f>
        <v/>
      </c>
      <c r="P113" s="260">
        <f>INDEX('Entrada de Dados'!M$6:M$196,MATCH($C113,'Entrada de Dados'!$A$6:$A$196,0))</f>
        <v/>
      </c>
      <c r="Q113" s="260">
        <f>INDEX('Entrada de Dados'!N$6:N$196,MATCH($C113,'Entrada de Dados'!$A$6:$A$196,0))</f>
        <v/>
      </c>
      <c r="R113" s="260">
        <f>INDEX('Entrada de Dados'!O$6:O$196,MATCH($C113,'Entrada de Dados'!$A$6:$A$196,0))</f>
        <v/>
      </c>
      <c r="S113" s="260">
        <f>INDEX('Entrada de Dados'!P$6:P$196,MATCH($C113,'Entrada de Dados'!$A$6:$A$196,0))</f>
        <v/>
      </c>
      <c r="T113" s="260">
        <f>INDEX('Entrada de Dados'!Q$6:Q$196,MATCH($C113,'Entrada de Dados'!$A$6:$A$196,0))</f>
        <v/>
      </c>
      <c r="U113" s="260">
        <f>INDEX('Entrada de Dados'!R$6:R$196,MATCH($C113,'Entrada de Dados'!$A$6:$A$196,0))</f>
        <v/>
      </c>
      <c r="V113" s="260">
        <f>INDEX('Entrada de Dados'!S$6:S$196,MATCH($C113,'Entrada de Dados'!$A$6:$A$196,0))</f>
        <v/>
      </c>
      <c r="W113" s="260">
        <f>INDEX('Entrada de Dados'!T$6:T$196,MATCH($C113,'Entrada de Dados'!$A$6:$A$196,0))</f>
        <v/>
      </c>
      <c r="X113" s="260">
        <f>INDEX('Entrada de Dados'!U$6:U$196,MATCH($C113,'Entrada de Dados'!$A$6:$A$196,0))</f>
        <v/>
      </c>
    </row>
    <row r="114" ht="15" customHeight="1" s="163">
      <c r="A114" s="261" t="n">
        <v>7</v>
      </c>
      <c r="B114" s="261" t="inlineStr">
        <is>
          <t>A</t>
        </is>
      </c>
      <c r="C114" s="262" t="inlineStr">
        <is>
          <t>2029</t>
        </is>
      </c>
      <c r="D114" s="263">
        <f>HYPERLINK("#'ESCOLA SÃO JUDAS TADEU'!A1","ESCOLA SÃO JUDAS TADEU")</f>
        <v/>
      </c>
      <c r="E114" s="263" t="inlineStr">
        <is>
          <t>MOSELA</t>
        </is>
      </c>
      <c r="F114" s="264">
        <f>INDEX('Entrada de Dados'!C$6:C$196,MATCH($C114,'Entrada de Dados'!$A$6:$A$196,0))</f>
        <v/>
      </c>
      <c r="G114" s="264">
        <f>INDEX('Entrada de Dados'!D$6:D$196,MATCH($C114,'Entrada de Dados'!$A$6:$A$196,0))</f>
        <v/>
      </c>
      <c r="H114" s="264">
        <f>INDEX('Entrada de Dados'!E$6:E$196,MATCH($C114,'Entrada de Dados'!$A$6:$A$196,0))</f>
        <v/>
      </c>
      <c r="I114" s="264">
        <f>INDEX('Entrada de Dados'!F$6:F$196,MATCH($C114,'Entrada de Dados'!$A$6:$A$196,0))</f>
        <v/>
      </c>
      <c r="J114" s="264">
        <f>INDEX('Entrada de Dados'!G$6:G$196,MATCH($C114,'Entrada de Dados'!$A$6:$A$196,0))</f>
        <v/>
      </c>
      <c r="K114" s="264">
        <f>INDEX('Entrada de Dados'!H$6:H$196,MATCH($C114,'Entrada de Dados'!$A$6:$A$196,0))</f>
        <v/>
      </c>
      <c r="L114" s="264">
        <f>INDEX('Entrada de Dados'!I$6:I$196,MATCH($C114,'Entrada de Dados'!$A$6:$A$196,0))</f>
        <v/>
      </c>
      <c r="M114" s="264">
        <f>INDEX('Entrada de Dados'!J$6:J$196,MATCH($C114,'Entrada de Dados'!$A$6:$A$196,0))</f>
        <v/>
      </c>
      <c r="N114" s="264">
        <f>INDEX('Entrada de Dados'!K$6:K$196,MATCH($C114,'Entrada de Dados'!$A$6:$A$196,0))</f>
        <v/>
      </c>
      <c r="O114" s="264">
        <f>INDEX('Entrada de Dados'!L$6:L$196,MATCH($C114,'Entrada de Dados'!$A$6:$A$196,0))</f>
        <v/>
      </c>
      <c r="P114" s="264">
        <f>INDEX('Entrada de Dados'!M$6:M$196,MATCH($C114,'Entrada de Dados'!$A$6:$A$196,0))</f>
        <v/>
      </c>
      <c r="Q114" s="264">
        <f>INDEX('Entrada de Dados'!N$6:N$196,MATCH($C114,'Entrada de Dados'!$A$6:$A$196,0))</f>
        <v/>
      </c>
      <c r="R114" s="264">
        <f>INDEX('Entrada de Dados'!O$6:O$196,MATCH($C114,'Entrada de Dados'!$A$6:$A$196,0))</f>
        <v/>
      </c>
      <c r="S114" s="264">
        <f>INDEX('Entrada de Dados'!P$6:P$196,MATCH($C114,'Entrada de Dados'!$A$6:$A$196,0))</f>
        <v/>
      </c>
      <c r="T114" s="264">
        <f>INDEX('Entrada de Dados'!Q$6:Q$196,MATCH($C114,'Entrada de Dados'!$A$6:$A$196,0))</f>
        <v/>
      </c>
      <c r="U114" s="264">
        <f>INDEX('Entrada de Dados'!R$6:R$196,MATCH($C114,'Entrada de Dados'!$A$6:$A$196,0))</f>
        <v/>
      </c>
      <c r="V114" s="264">
        <f>INDEX('Entrada de Dados'!S$6:S$196,MATCH($C114,'Entrada de Dados'!$A$6:$A$196,0))</f>
        <v/>
      </c>
      <c r="W114" s="264">
        <f>INDEX('Entrada de Dados'!T$6:T$196,MATCH($C114,'Entrada de Dados'!$A$6:$A$196,0))</f>
        <v/>
      </c>
      <c r="X114" s="264">
        <f>INDEX('Entrada de Dados'!U$6:U$196,MATCH($C114,'Entrada de Dados'!$A$6:$A$196,0))</f>
        <v/>
      </c>
    </row>
    <row r="115" ht="15" customHeight="1" s="163">
      <c r="A115" s="261" t="n">
        <v>7</v>
      </c>
      <c r="B115" s="261" t="inlineStr">
        <is>
          <t>B</t>
        </is>
      </c>
      <c r="C115" s="262" t="inlineStr">
        <is>
          <t>1086</t>
        </is>
      </c>
      <c r="D115" s="263">
        <f>HYPERLINK("#'ESCOLA MUNICIPALIZADA FREI ANIC'!A1","ESCOLA MUNICIPALIZADA FREI ANICETO")</f>
        <v/>
      </c>
      <c r="E115" s="263" t="inlineStr">
        <is>
          <t>MOSELA</t>
        </is>
      </c>
      <c r="F115" s="264">
        <f>INDEX('Entrada de Dados'!C$6:C$196,MATCH($C115,'Entrada de Dados'!$A$6:$A$196,0))</f>
        <v/>
      </c>
      <c r="G115" s="264">
        <f>INDEX('Entrada de Dados'!D$6:D$196,MATCH($C115,'Entrada de Dados'!$A$6:$A$196,0))</f>
        <v/>
      </c>
      <c r="H115" s="264">
        <f>INDEX('Entrada de Dados'!E$6:E$196,MATCH($C115,'Entrada de Dados'!$A$6:$A$196,0))</f>
        <v/>
      </c>
      <c r="I115" s="264">
        <f>INDEX('Entrada de Dados'!F$6:F$196,MATCH($C115,'Entrada de Dados'!$A$6:$A$196,0))</f>
        <v/>
      </c>
      <c r="J115" s="264">
        <f>INDEX('Entrada de Dados'!G$6:G$196,MATCH($C115,'Entrada de Dados'!$A$6:$A$196,0))</f>
        <v/>
      </c>
      <c r="K115" s="264">
        <f>INDEX('Entrada de Dados'!H$6:H$196,MATCH($C115,'Entrada de Dados'!$A$6:$A$196,0))</f>
        <v/>
      </c>
      <c r="L115" s="264">
        <f>INDEX('Entrada de Dados'!I$6:I$196,MATCH($C115,'Entrada de Dados'!$A$6:$A$196,0))</f>
        <v/>
      </c>
      <c r="M115" s="264">
        <f>INDEX('Entrada de Dados'!J$6:J$196,MATCH($C115,'Entrada de Dados'!$A$6:$A$196,0))</f>
        <v/>
      </c>
      <c r="N115" s="264">
        <f>INDEX('Entrada de Dados'!K$6:K$196,MATCH($C115,'Entrada de Dados'!$A$6:$A$196,0))</f>
        <v/>
      </c>
      <c r="O115" s="264">
        <f>INDEX('Entrada de Dados'!L$6:L$196,MATCH($C115,'Entrada de Dados'!$A$6:$A$196,0))</f>
        <v/>
      </c>
      <c r="P115" s="264">
        <f>INDEX('Entrada de Dados'!M$6:M$196,MATCH($C115,'Entrada de Dados'!$A$6:$A$196,0))</f>
        <v/>
      </c>
      <c r="Q115" s="264">
        <f>INDEX('Entrada de Dados'!N$6:N$196,MATCH($C115,'Entrada de Dados'!$A$6:$A$196,0))</f>
        <v/>
      </c>
      <c r="R115" s="264">
        <f>INDEX('Entrada de Dados'!O$6:O$196,MATCH($C115,'Entrada de Dados'!$A$6:$A$196,0))</f>
        <v/>
      </c>
      <c r="S115" s="264">
        <f>INDEX('Entrada de Dados'!P$6:P$196,MATCH($C115,'Entrada de Dados'!$A$6:$A$196,0))</f>
        <v/>
      </c>
      <c r="T115" s="264">
        <f>INDEX('Entrada de Dados'!Q$6:Q$196,MATCH($C115,'Entrada de Dados'!$A$6:$A$196,0))</f>
        <v/>
      </c>
      <c r="U115" s="264">
        <f>INDEX('Entrada de Dados'!R$6:R$196,MATCH($C115,'Entrada de Dados'!$A$6:$A$196,0))</f>
        <v/>
      </c>
      <c r="V115" s="264">
        <f>INDEX('Entrada de Dados'!S$6:S$196,MATCH($C115,'Entrada de Dados'!$A$6:$A$196,0))</f>
        <v/>
      </c>
      <c r="W115" s="264">
        <f>INDEX('Entrada de Dados'!T$6:T$196,MATCH($C115,'Entrada de Dados'!$A$6:$A$196,0))</f>
        <v/>
      </c>
      <c r="X115" s="264">
        <f>INDEX('Entrada de Dados'!U$6:U$196,MATCH($C115,'Entrada de Dados'!$A$6:$A$196,0))</f>
        <v/>
      </c>
    </row>
    <row r="116" ht="15" customHeight="1" s="163">
      <c r="A116" s="258" t="n">
        <v>8</v>
      </c>
      <c r="B116" s="258" t="n"/>
      <c r="C116" s="258" t="inlineStr">
        <is>
          <t>3016</t>
        </is>
      </c>
      <c r="D116" s="259">
        <f>HYPERLINK("#'CEI PEDRAS BRANCAS'!A1","CEI PEDRAS BRANCAS")</f>
        <v/>
      </c>
      <c r="E116" s="259" t="inlineStr">
        <is>
          <t>MOSELA</t>
        </is>
      </c>
      <c r="F116" s="260">
        <f>INDEX('Entrada de Dados'!C$6:C$196,MATCH($C116,'Entrada de Dados'!$A$6:$A$196,0))</f>
        <v/>
      </c>
      <c r="G116" s="260">
        <f>INDEX('Entrada de Dados'!D$6:D$196,MATCH($C116,'Entrada de Dados'!$A$6:$A$196,0))</f>
        <v/>
      </c>
      <c r="H116" s="260">
        <f>INDEX('Entrada de Dados'!E$6:E$196,MATCH($C116,'Entrada de Dados'!$A$6:$A$196,0))</f>
        <v/>
      </c>
      <c r="I116" s="260">
        <f>INDEX('Entrada de Dados'!F$6:F$196,MATCH($C116,'Entrada de Dados'!$A$6:$A$196,0))</f>
        <v/>
      </c>
      <c r="J116" s="260">
        <f>INDEX('Entrada de Dados'!G$6:G$196,MATCH($C116,'Entrada de Dados'!$A$6:$A$196,0))</f>
        <v/>
      </c>
      <c r="K116" s="260">
        <f>INDEX('Entrada de Dados'!H$6:H$196,MATCH($C116,'Entrada de Dados'!$A$6:$A$196,0))</f>
        <v/>
      </c>
      <c r="L116" s="260">
        <f>INDEX('Entrada de Dados'!I$6:I$196,MATCH($C116,'Entrada de Dados'!$A$6:$A$196,0))</f>
        <v/>
      </c>
      <c r="M116" s="260">
        <f>INDEX('Entrada de Dados'!J$6:J$196,MATCH($C116,'Entrada de Dados'!$A$6:$A$196,0))</f>
        <v/>
      </c>
      <c r="N116" s="260">
        <f>INDEX('Entrada de Dados'!K$6:K$196,MATCH($C116,'Entrada de Dados'!$A$6:$A$196,0))</f>
        <v/>
      </c>
      <c r="O116" s="260">
        <f>INDEX('Entrada de Dados'!L$6:L$196,MATCH($C116,'Entrada de Dados'!$A$6:$A$196,0))</f>
        <v/>
      </c>
      <c r="P116" s="260">
        <f>INDEX('Entrada de Dados'!M$6:M$196,MATCH($C116,'Entrada de Dados'!$A$6:$A$196,0))</f>
        <v/>
      </c>
      <c r="Q116" s="260">
        <f>INDEX('Entrada de Dados'!N$6:N$196,MATCH($C116,'Entrada de Dados'!$A$6:$A$196,0))</f>
        <v/>
      </c>
      <c r="R116" s="260">
        <f>INDEX('Entrada de Dados'!O$6:O$196,MATCH($C116,'Entrada de Dados'!$A$6:$A$196,0))</f>
        <v/>
      </c>
      <c r="S116" s="260">
        <f>INDEX('Entrada de Dados'!P$6:P$196,MATCH($C116,'Entrada de Dados'!$A$6:$A$196,0))</f>
        <v/>
      </c>
      <c r="T116" s="260">
        <f>INDEX('Entrada de Dados'!Q$6:Q$196,MATCH($C116,'Entrada de Dados'!$A$6:$A$196,0))</f>
        <v/>
      </c>
      <c r="U116" s="260">
        <f>INDEX('Entrada de Dados'!R$6:R$196,MATCH($C116,'Entrada de Dados'!$A$6:$A$196,0))</f>
        <v/>
      </c>
      <c r="V116" s="260">
        <f>INDEX('Entrada de Dados'!S$6:S$196,MATCH($C116,'Entrada de Dados'!$A$6:$A$196,0))</f>
        <v/>
      </c>
      <c r="W116" s="260">
        <f>INDEX('Entrada de Dados'!T$6:T$196,MATCH($C116,'Entrada de Dados'!$A$6:$A$196,0))</f>
        <v/>
      </c>
      <c r="X116" s="260">
        <f>INDEX('Entrada de Dados'!U$6:U$196,MATCH($C116,'Entrada de Dados'!$A$6:$A$196,0))</f>
        <v/>
      </c>
    </row>
    <row r="117" ht="15" customHeight="1" s="163">
      <c r="A117" s="258" t="n">
        <v>9</v>
      </c>
      <c r="B117" s="258" t="n"/>
      <c r="C117" s="258" t="inlineStr">
        <is>
          <t>1024</t>
        </is>
      </c>
      <c r="D117" s="259">
        <f>HYPERLINK("#'E M SOROPTIMISTA'!A1","E M SOROPTIMISTA")</f>
        <v/>
      </c>
      <c r="E117" s="259" t="inlineStr">
        <is>
          <t>MOSELA</t>
        </is>
      </c>
      <c r="F117" s="260">
        <f>INDEX('Entrada de Dados'!C$6:C$196,MATCH($C117,'Entrada de Dados'!$A$6:$A$196,0))</f>
        <v/>
      </c>
      <c r="G117" s="260">
        <f>INDEX('Entrada de Dados'!D$6:D$196,MATCH($C117,'Entrada de Dados'!$A$6:$A$196,0))</f>
        <v/>
      </c>
      <c r="H117" s="260">
        <f>INDEX('Entrada de Dados'!E$6:E$196,MATCH($C117,'Entrada de Dados'!$A$6:$A$196,0))</f>
        <v/>
      </c>
      <c r="I117" s="260">
        <f>INDEX('Entrada de Dados'!F$6:F$196,MATCH($C117,'Entrada de Dados'!$A$6:$A$196,0))</f>
        <v/>
      </c>
      <c r="J117" s="260">
        <f>INDEX('Entrada de Dados'!G$6:G$196,MATCH($C117,'Entrada de Dados'!$A$6:$A$196,0))</f>
        <v/>
      </c>
      <c r="K117" s="260">
        <f>INDEX('Entrada de Dados'!H$6:H$196,MATCH($C117,'Entrada de Dados'!$A$6:$A$196,0))</f>
        <v/>
      </c>
      <c r="L117" s="260">
        <f>INDEX('Entrada de Dados'!I$6:I$196,MATCH($C117,'Entrada de Dados'!$A$6:$A$196,0))</f>
        <v/>
      </c>
      <c r="M117" s="260">
        <f>INDEX('Entrada de Dados'!J$6:J$196,MATCH($C117,'Entrada de Dados'!$A$6:$A$196,0))</f>
        <v/>
      </c>
      <c r="N117" s="260">
        <f>INDEX('Entrada de Dados'!K$6:K$196,MATCH($C117,'Entrada de Dados'!$A$6:$A$196,0))</f>
        <v/>
      </c>
      <c r="O117" s="260">
        <f>INDEX('Entrada de Dados'!L$6:L$196,MATCH($C117,'Entrada de Dados'!$A$6:$A$196,0))</f>
        <v/>
      </c>
      <c r="P117" s="260">
        <f>INDEX('Entrada de Dados'!M$6:M$196,MATCH($C117,'Entrada de Dados'!$A$6:$A$196,0))</f>
        <v/>
      </c>
      <c r="Q117" s="260">
        <f>INDEX('Entrada de Dados'!N$6:N$196,MATCH($C117,'Entrada de Dados'!$A$6:$A$196,0))</f>
        <v/>
      </c>
      <c r="R117" s="260">
        <f>INDEX('Entrada de Dados'!O$6:O$196,MATCH($C117,'Entrada de Dados'!$A$6:$A$196,0))</f>
        <v/>
      </c>
      <c r="S117" s="260">
        <f>INDEX('Entrada de Dados'!P$6:P$196,MATCH($C117,'Entrada de Dados'!$A$6:$A$196,0))</f>
        <v/>
      </c>
      <c r="T117" s="260">
        <f>INDEX('Entrada de Dados'!Q$6:Q$196,MATCH($C117,'Entrada de Dados'!$A$6:$A$196,0))</f>
        <v/>
      </c>
      <c r="U117" s="260">
        <f>INDEX('Entrada de Dados'!R$6:R$196,MATCH($C117,'Entrada de Dados'!$A$6:$A$196,0))</f>
        <v/>
      </c>
      <c r="V117" s="260">
        <f>INDEX('Entrada de Dados'!S$6:S$196,MATCH($C117,'Entrada de Dados'!$A$6:$A$196,0))</f>
        <v/>
      </c>
      <c r="W117" s="260">
        <f>INDEX('Entrada de Dados'!T$6:T$196,MATCH($C117,'Entrada de Dados'!$A$6:$A$196,0))</f>
        <v/>
      </c>
      <c r="X117" s="260">
        <f>INDEX('Entrada de Dados'!U$6:U$196,MATCH($C117,'Entrada de Dados'!$A$6:$A$196,0))</f>
        <v/>
      </c>
    </row>
    <row r="118" ht="21.75" customHeight="1" s="163">
      <c r="A118" s="265" t="inlineStr">
        <is>
          <t>Peso previsto:</t>
        </is>
      </c>
      <c r="C118" s="266">
        <f>SUM(F108:F117)+SUM(G108:G117)+SUM(H108:H117)+SUM(I108:I117)+SUM(J108:J117)+SUM(K108:K117)+SUM(L108:L117)+SUM(M108:M117)+SUM(N108:N117)+SUM(O108:O117)+SUM(P108:P117)+SUM(Q108:Q117)+SUM(R108:R117)+SUM(S108:S117)+SUM(T108:T117)+SUM(U108:U117)+SUM(W108:W117)+SUM(X108:X117)</f>
        <v/>
      </c>
      <c r="D118" s="265" t="inlineStr">
        <is>
          <t>Peso embarcado (kg):</t>
        </is>
      </c>
      <c r="F118" s="267" t="n"/>
      <c r="G118" s="265" t="inlineStr">
        <is>
          <t>Veículo:</t>
        </is>
      </c>
      <c r="I118" s="267" t="n"/>
      <c r="J118" s="268" t="n"/>
      <c r="K118" s="265" t="inlineStr">
        <is>
          <t>Motorista:</t>
        </is>
      </c>
      <c r="M118" s="267" t="n"/>
      <c r="N118" s="269" t="n"/>
      <c r="O118" s="269" t="n"/>
      <c r="P118" s="269" t="n"/>
      <c r="Q118" s="269" t="n"/>
      <c r="R118" s="269" t="n"/>
      <c r="S118" s="269" t="n"/>
      <c r="T118" s="269" t="n"/>
      <c r="U118" s="269" t="n"/>
      <c r="V118" s="269" t="n"/>
      <c r="W118" s="269" t="n"/>
      <c r="X118" s="268" t="n"/>
    </row>
    <row r="120" ht="19.5" customHeight="1" s="163">
      <c r="A120" s="186" t="inlineStr">
        <is>
          <t>ROTA S8 — PEDRO DO RIO - TAQUARIL - SECRETÁRIO - VILA RICA · KOMBI · 10 escolas · 9 paradas físicas</t>
        </is>
      </c>
    </row>
    <row r="121" ht="25.5" customHeight="1" s="163">
      <c r="A121" s="256" t="inlineStr">
        <is>
          <t>Sequência-base: Galpão Itaipava &gt; Pedro do Rio &gt; Taquaril &gt; Secretário &gt; Vila Rica &gt; Galpão   Atenção: Taquaril é candidato a último trecho por moto apenas se o pedido couber com segurança; não definir antes do peso.</t>
        </is>
      </c>
    </row>
    <row r="122" ht="30" customHeight="1" s="163">
      <c r="A122" s="257" t="inlineStr">
        <is>
          <t>PAR.</t>
        </is>
      </c>
      <c r="B122" s="257" t="inlineStr">
        <is>
          <t>SUB</t>
        </is>
      </c>
      <c r="C122" s="257" t="inlineStr">
        <is>
          <t>CÓDIGO</t>
        </is>
      </c>
      <c r="D122" s="257" t="inlineStr">
        <is>
          <t>ESCOLA</t>
        </is>
      </c>
      <c r="E122" s="257" t="inlineStr">
        <is>
          <t>BAIRRO/CORREDOR</t>
        </is>
      </c>
      <c r="F122" s="257" t="inlineStr">
        <is>
          <t>Abacate</t>
        </is>
      </c>
      <c r="G122" s="257" t="inlineStr">
        <is>
          <t>Abobrinha</t>
        </is>
      </c>
      <c r="H122" s="257" t="inlineStr">
        <is>
          <t>Agrião</t>
        </is>
      </c>
      <c r="I122" s="257" t="inlineStr">
        <is>
          <t>Alface lisa</t>
        </is>
      </c>
      <c r="J122" s="257" t="inlineStr">
        <is>
          <t>Banana prata</t>
        </is>
      </c>
      <c r="K122" s="257" t="inlineStr">
        <is>
          <t>Batata inglesa</t>
        </is>
      </c>
      <c r="L122" s="257" t="inlineStr">
        <is>
          <t>Beterraba</t>
        </is>
      </c>
      <c r="M122" s="257" t="inlineStr">
        <is>
          <t>Brócolis</t>
        </is>
      </c>
      <c r="N122" s="257" t="inlineStr">
        <is>
          <t>Cenoura</t>
        </is>
      </c>
      <c r="O122" s="257" t="inlineStr">
        <is>
          <t>Cheiro verde</t>
        </is>
      </c>
      <c r="P122" s="257" t="inlineStr">
        <is>
          <t>Chuchu</t>
        </is>
      </c>
      <c r="Q122" s="257" t="inlineStr">
        <is>
          <t>Couve manteiga</t>
        </is>
      </c>
      <c r="R122" s="257" t="inlineStr">
        <is>
          <t>Couve-flor</t>
        </is>
      </c>
      <c r="S122" s="257" t="inlineStr">
        <is>
          <t>Espinafre</t>
        </is>
      </c>
      <c r="T122" s="257" t="inlineStr">
        <is>
          <t>Maçã gala</t>
        </is>
      </c>
      <c r="U122" s="257" t="inlineStr">
        <is>
          <t>Mel</t>
        </is>
      </c>
      <c r="V122" s="257" t="inlineStr">
        <is>
          <t>Ovos (dz)</t>
        </is>
      </c>
      <c r="W122" s="257" t="inlineStr">
        <is>
          <t>Repolho</t>
        </is>
      </c>
      <c r="X122" s="257" t="inlineStr">
        <is>
          <t>Tangerina ponkan</t>
        </is>
      </c>
    </row>
    <row r="123" ht="15" customHeight="1" s="163">
      <c r="A123" s="258" t="n">
        <v>1</v>
      </c>
      <c r="B123" s="258" t="n"/>
      <c r="C123" s="258" t="inlineStr">
        <is>
          <t>1099</t>
        </is>
      </c>
      <c r="D123" s="259">
        <f>HYPERLINK("#'E M MONSENHOR JOÃO DE DEUS RODR'!A1","E M MONSENHOR JOÃO DE DEUS RODRIGUES")</f>
        <v/>
      </c>
      <c r="E123" s="259" t="inlineStr">
        <is>
          <t>PEDRO DO RIO</t>
        </is>
      </c>
      <c r="F123" s="260">
        <f>INDEX('Entrada de Dados'!C$6:C$196,MATCH($C123,'Entrada de Dados'!$A$6:$A$196,0))</f>
        <v/>
      </c>
      <c r="G123" s="260">
        <f>INDEX('Entrada de Dados'!D$6:D$196,MATCH($C123,'Entrada de Dados'!$A$6:$A$196,0))</f>
        <v/>
      </c>
      <c r="H123" s="260">
        <f>INDEX('Entrada de Dados'!E$6:E$196,MATCH($C123,'Entrada de Dados'!$A$6:$A$196,0))</f>
        <v/>
      </c>
      <c r="I123" s="260">
        <f>INDEX('Entrada de Dados'!F$6:F$196,MATCH($C123,'Entrada de Dados'!$A$6:$A$196,0))</f>
        <v/>
      </c>
      <c r="J123" s="260">
        <f>INDEX('Entrada de Dados'!G$6:G$196,MATCH($C123,'Entrada de Dados'!$A$6:$A$196,0))</f>
        <v/>
      </c>
      <c r="K123" s="260">
        <f>INDEX('Entrada de Dados'!H$6:H$196,MATCH($C123,'Entrada de Dados'!$A$6:$A$196,0))</f>
        <v/>
      </c>
      <c r="L123" s="260">
        <f>INDEX('Entrada de Dados'!I$6:I$196,MATCH($C123,'Entrada de Dados'!$A$6:$A$196,0))</f>
        <v/>
      </c>
      <c r="M123" s="260">
        <f>INDEX('Entrada de Dados'!J$6:J$196,MATCH($C123,'Entrada de Dados'!$A$6:$A$196,0))</f>
        <v/>
      </c>
      <c r="N123" s="260">
        <f>INDEX('Entrada de Dados'!K$6:K$196,MATCH($C123,'Entrada de Dados'!$A$6:$A$196,0))</f>
        <v/>
      </c>
      <c r="O123" s="260">
        <f>INDEX('Entrada de Dados'!L$6:L$196,MATCH($C123,'Entrada de Dados'!$A$6:$A$196,0))</f>
        <v/>
      </c>
      <c r="P123" s="260">
        <f>INDEX('Entrada de Dados'!M$6:M$196,MATCH($C123,'Entrada de Dados'!$A$6:$A$196,0))</f>
        <v/>
      </c>
      <c r="Q123" s="260">
        <f>INDEX('Entrada de Dados'!N$6:N$196,MATCH($C123,'Entrada de Dados'!$A$6:$A$196,0))</f>
        <v/>
      </c>
      <c r="R123" s="260">
        <f>INDEX('Entrada de Dados'!O$6:O$196,MATCH($C123,'Entrada de Dados'!$A$6:$A$196,0))</f>
        <v/>
      </c>
      <c r="S123" s="260">
        <f>INDEX('Entrada de Dados'!P$6:P$196,MATCH($C123,'Entrada de Dados'!$A$6:$A$196,0))</f>
        <v/>
      </c>
      <c r="T123" s="260">
        <f>INDEX('Entrada de Dados'!Q$6:Q$196,MATCH($C123,'Entrada de Dados'!$A$6:$A$196,0))</f>
        <v/>
      </c>
      <c r="U123" s="260">
        <f>INDEX('Entrada de Dados'!R$6:R$196,MATCH($C123,'Entrada de Dados'!$A$6:$A$196,0))</f>
        <v/>
      </c>
      <c r="V123" s="260">
        <f>INDEX('Entrada de Dados'!S$6:S$196,MATCH($C123,'Entrada de Dados'!$A$6:$A$196,0))</f>
        <v/>
      </c>
      <c r="W123" s="260">
        <f>INDEX('Entrada de Dados'!T$6:T$196,MATCH($C123,'Entrada de Dados'!$A$6:$A$196,0))</f>
        <v/>
      </c>
      <c r="X123" s="260">
        <f>INDEX('Entrada de Dados'!U$6:U$196,MATCH($C123,'Entrada de Dados'!$A$6:$A$196,0))</f>
        <v/>
      </c>
    </row>
    <row r="124" ht="15" customHeight="1" s="163">
      <c r="A124" s="258" t="n">
        <v>2</v>
      </c>
      <c r="B124" s="258" t="n"/>
      <c r="C124" s="258" t="inlineStr">
        <is>
          <t>3043</t>
        </is>
      </c>
      <c r="D124" s="259">
        <f>HYPERLINK("#'CEI PROFª GRAÇA COSTA'!A1","CEI PROFª GRAÇA COSTA")</f>
        <v/>
      </c>
      <c r="E124" s="259" t="inlineStr">
        <is>
          <t>PEDRO DO RIO</t>
        </is>
      </c>
      <c r="F124" s="260">
        <f>INDEX('Entrada de Dados'!C$6:C$196,MATCH($C124,'Entrada de Dados'!$A$6:$A$196,0))</f>
        <v/>
      </c>
      <c r="G124" s="260">
        <f>INDEX('Entrada de Dados'!D$6:D$196,MATCH($C124,'Entrada de Dados'!$A$6:$A$196,0))</f>
        <v/>
      </c>
      <c r="H124" s="260">
        <f>INDEX('Entrada de Dados'!E$6:E$196,MATCH($C124,'Entrada de Dados'!$A$6:$A$196,0))</f>
        <v/>
      </c>
      <c r="I124" s="260">
        <f>INDEX('Entrada de Dados'!F$6:F$196,MATCH($C124,'Entrada de Dados'!$A$6:$A$196,0))</f>
        <v/>
      </c>
      <c r="J124" s="260">
        <f>INDEX('Entrada de Dados'!G$6:G$196,MATCH($C124,'Entrada de Dados'!$A$6:$A$196,0))</f>
        <v/>
      </c>
      <c r="K124" s="260">
        <f>INDEX('Entrada de Dados'!H$6:H$196,MATCH($C124,'Entrada de Dados'!$A$6:$A$196,0))</f>
        <v/>
      </c>
      <c r="L124" s="260">
        <f>INDEX('Entrada de Dados'!I$6:I$196,MATCH($C124,'Entrada de Dados'!$A$6:$A$196,0))</f>
        <v/>
      </c>
      <c r="M124" s="260">
        <f>INDEX('Entrada de Dados'!J$6:J$196,MATCH($C124,'Entrada de Dados'!$A$6:$A$196,0))</f>
        <v/>
      </c>
      <c r="N124" s="260">
        <f>INDEX('Entrada de Dados'!K$6:K$196,MATCH($C124,'Entrada de Dados'!$A$6:$A$196,0))</f>
        <v/>
      </c>
      <c r="O124" s="260">
        <f>INDEX('Entrada de Dados'!L$6:L$196,MATCH($C124,'Entrada de Dados'!$A$6:$A$196,0))</f>
        <v/>
      </c>
      <c r="P124" s="260">
        <f>INDEX('Entrada de Dados'!M$6:M$196,MATCH($C124,'Entrada de Dados'!$A$6:$A$196,0))</f>
        <v/>
      </c>
      <c r="Q124" s="260">
        <f>INDEX('Entrada de Dados'!N$6:N$196,MATCH($C124,'Entrada de Dados'!$A$6:$A$196,0))</f>
        <v/>
      </c>
      <c r="R124" s="260">
        <f>INDEX('Entrada de Dados'!O$6:O$196,MATCH($C124,'Entrada de Dados'!$A$6:$A$196,0))</f>
        <v/>
      </c>
      <c r="S124" s="260">
        <f>INDEX('Entrada de Dados'!P$6:P$196,MATCH($C124,'Entrada de Dados'!$A$6:$A$196,0))</f>
        <v/>
      </c>
      <c r="T124" s="260">
        <f>INDEX('Entrada de Dados'!Q$6:Q$196,MATCH($C124,'Entrada de Dados'!$A$6:$A$196,0))</f>
        <v/>
      </c>
      <c r="U124" s="260">
        <f>INDEX('Entrada de Dados'!R$6:R$196,MATCH($C124,'Entrada de Dados'!$A$6:$A$196,0))</f>
        <v/>
      </c>
      <c r="V124" s="260">
        <f>INDEX('Entrada de Dados'!S$6:S$196,MATCH($C124,'Entrada de Dados'!$A$6:$A$196,0))</f>
        <v/>
      </c>
      <c r="W124" s="260">
        <f>INDEX('Entrada de Dados'!T$6:T$196,MATCH($C124,'Entrada de Dados'!$A$6:$A$196,0))</f>
        <v/>
      </c>
      <c r="X124" s="260">
        <f>INDEX('Entrada de Dados'!U$6:U$196,MATCH($C124,'Entrada de Dados'!$A$6:$A$196,0))</f>
        <v/>
      </c>
    </row>
    <row r="125" ht="15" customHeight="1" s="163">
      <c r="A125" s="261" t="n">
        <v>3</v>
      </c>
      <c r="B125" s="261" t="inlineStr">
        <is>
          <t>A</t>
        </is>
      </c>
      <c r="C125" s="262" t="inlineStr">
        <is>
          <t>1119</t>
        </is>
      </c>
      <c r="D125" s="263">
        <f>HYPERLINK("#'CENTRO DE REFERÊNCIA EM EDUC 2'!A1","CENTRO DE REFERÊNCIA EM EDUCAÇÃO INCLUSIVA ALINE DE SOUZA CORREA")</f>
        <v/>
      </c>
      <c r="E125" s="263" t="inlineStr">
        <is>
          <t>PEDRO DO RIO</t>
        </is>
      </c>
      <c r="F125" s="264">
        <f>INDEX('Entrada de Dados'!C$6:C$196,MATCH($C125,'Entrada de Dados'!$A$6:$A$196,0))</f>
        <v/>
      </c>
      <c r="G125" s="264">
        <f>INDEX('Entrada de Dados'!D$6:D$196,MATCH($C125,'Entrada de Dados'!$A$6:$A$196,0))</f>
        <v/>
      </c>
      <c r="H125" s="264">
        <f>INDEX('Entrada de Dados'!E$6:E$196,MATCH($C125,'Entrada de Dados'!$A$6:$A$196,0))</f>
        <v/>
      </c>
      <c r="I125" s="264">
        <f>INDEX('Entrada de Dados'!F$6:F$196,MATCH($C125,'Entrada de Dados'!$A$6:$A$196,0))</f>
        <v/>
      </c>
      <c r="J125" s="264">
        <f>INDEX('Entrada de Dados'!G$6:G$196,MATCH($C125,'Entrada de Dados'!$A$6:$A$196,0))</f>
        <v/>
      </c>
      <c r="K125" s="264">
        <f>INDEX('Entrada de Dados'!H$6:H$196,MATCH($C125,'Entrada de Dados'!$A$6:$A$196,0))</f>
        <v/>
      </c>
      <c r="L125" s="264">
        <f>INDEX('Entrada de Dados'!I$6:I$196,MATCH($C125,'Entrada de Dados'!$A$6:$A$196,0))</f>
        <v/>
      </c>
      <c r="M125" s="264">
        <f>INDEX('Entrada de Dados'!J$6:J$196,MATCH($C125,'Entrada de Dados'!$A$6:$A$196,0))</f>
        <v/>
      </c>
      <c r="N125" s="264">
        <f>INDEX('Entrada de Dados'!K$6:K$196,MATCH($C125,'Entrada de Dados'!$A$6:$A$196,0))</f>
        <v/>
      </c>
      <c r="O125" s="264">
        <f>INDEX('Entrada de Dados'!L$6:L$196,MATCH($C125,'Entrada de Dados'!$A$6:$A$196,0))</f>
        <v/>
      </c>
      <c r="P125" s="264">
        <f>INDEX('Entrada de Dados'!M$6:M$196,MATCH($C125,'Entrada de Dados'!$A$6:$A$196,0))</f>
        <v/>
      </c>
      <c r="Q125" s="264">
        <f>INDEX('Entrada de Dados'!N$6:N$196,MATCH($C125,'Entrada de Dados'!$A$6:$A$196,0))</f>
        <v/>
      </c>
      <c r="R125" s="264">
        <f>INDEX('Entrada de Dados'!O$6:O$196,MATCH($C125,'Entrada de Dados'!$A$6:$A$196,0))</f>
        <v/>
      </c>
      <c r="S125" s="264">
        <f>INDEX('Entrada de Dados'!P$6:P$196,MATCH($C125,'Entrada de Dados'!$A$6:$A$196,0))</f>
        <v/>
      </c>
      <c r="T125" s="264">
        <f>INDEX('Entrada de Dados'!Q$6:Q$196,MATCH($C125,'Entrada de Dados'!$A$6:$A$196,0))</f>
        <v/>
      </c>
      <c r="U125" s="264">
        <f>INDEX('Entrada de Dados'!R$6:R$196,MATCH($C125,'Entrada de Dados'!$A$6:$A$196,0))</f>
        <v/>
      </c>
      <c r="V125" s="264">
        <f>INDEX('Entrada de Dados'!S$6:S$196,MATCH($C125,'Entrada de Dados'!$A$6:$A$196,0))</f>
        <v/>
      </c>
      <c r="W125" s="264">
        <f>INDEX('Entrada de Dados'!T$6:T$196,MATCH($C125,'Entrada de Dados'!$A$6:$A$196,0))</f>
        <v/>
      </c>
      <c r="X125" s="264">
        <f>INDEX('Entrada de Dados'!U$6:U$196,MATCH($C125,'Entrada de Dados'!$A$6:$A$196,0))</f>
        <v/>
      </c>
    </row>
    <row r="126" ht="15" customHeight="1" s="163">
      <c r="A126" s="261" t="n">
        <v>3</v>
      </c>
      <c r="B126" s="261" t="inlineStr">
        <is>
          <t>B</t>
        </is>
      </c>
      <c r="C126" s="262" t="inlineStr">
        <is>
          <t>3074</t>
        </is>
      </c>
      <c r="D126" s="263">
        <f>HYPERLINK("#'CEI NILO PEÇANHA'!A1","CEI NILO PEÇANHA")</f>
        <v/>
      </c>
      <c r="E126" s="263" t="inlineStr">
        <is>
          <t>PEDRO DO RIO</t>
        </is>
      </c>
      <c r="F126" s="264">
        <f>INDEX('Entrada de Dados'!C$6:C$196,MATCH($C126,'Entrada de Dados'!$A$6:$A$196,0))</f>
        <v/>
      </c>
      <c r="G126" s="264">
        <f>INDEX('Entrada de Dados'!D$6:D$196,MATCH($C126,'Entrada de Dados'!$A$6:$A$196,0))</f>
        <v/>
      </c>
      <c r="H126" s="264">
        <f>INDEX('Entrada de Dados'!E$6:E$196,MATCH($C126,'Entrada de Dados'!$A$6:$A$196,0))</f>
        <v/>
      </c>
      <c r="I126" s="264">
        <f>INDEX('Entrada de Dados'!F$6:F$196,MATCH($C126,'Entrada de Dados'!$A$6:$A$196,0))</f>
        <v/>
      </c>
      <c r="J126" s="264">
        <f>INDEX('Entrada de Dados'!G$6:G$196,MATCH($C126,'Entrada de Dados'!$A$6:$A$196,0))</f>
        <v/>
      </c>
      <c r="K126" s="264">
        <f>INDEX('Entrada de Dados'!H$6:H$196,MATCH($C126,'Entrada de Dados'!$A$6:$A$196,0))</f>
        <v/>
      </c>
      <c r="L126" s="264">
        <f>INDEX('Entrada de Dados'!I$6:I$196,MATCH($C126,'Entrada de Dados'!$A$6:$A$196,0))</f>
        <v/>
      </c>
      <c r="M126" s="264">
        <f>INDEX('Entrada de Dados'!J$6:J$196,MATCH($C126,'Entrada de Dados'!$A$6:$A$196,0))</f>
        <v/>
      </c>
      <c r="N126" s="264">
        <f>INDEX('Entrada de Dados'!K$6:K$196,MATCH($C126,'Entrada de Dados'!$A$6:$A$196,0))</f>
        <v/>
      </c>
      <c r="O126" s="264">
        <f>INDEX('Entrada de Dados'!L$6:L$196,MATCH($C126,'Entrada de Dados'!$A$6:$A$196,0))</f>
        <v/>
      </c>
      <c r="P126" s="264">
        <f>INDEX('Entrada de Dados'!M$6:M$196,MATCH($C126,'Entrada de Dados'!$A$6:$A$196,0))</f>
        <v/>
      </c>
      <c r="Q126" s="264">
        <f>INDEX('Entrada de Dados'!N$6:N$196,MATCH($C126,'Entrada de Dados'!$A$6:$A$196,0))</f>
        <v/>
      </c>
      <c r="R126" s="264">
        <f>INDEX('Entrada de Dados'!O$6:O$196,MATCH($C126,'Entrada de Dados'!$A$6:$A$196,0))</f>
        <v/>
      </c>
      <c r="S126" s="264">
        <f>INDEX('Entrada de Dados'!P$6:P$196,MATCH($C126,'Entrada de Dados'!$A$6:$A$196,0))</f>
        <v/>
      </c>
      <c r="T126" s="264">
        <f>INDEX('Entrada de Dados'!Q$6:Q$196,MATCH($C126,'Entrada de Dados'!$A$6:$A$196,0))</f>
        <v/>
      </c>
      <c r="U126" s="264">
        <f>INDEX('Entrada de Dados'!R$6:R$196,MATCH($C126,'Entrada de Dados'!$A$6:$A$196,0))</f>
        <v/>
      </c>
      <c r="V126" s="264">
        <f>INDEX('Entrada de Dados'!S$6:S$196,MATCH($C126,'Entrada de Dados'!$A$6:$A$196,0))</f>
        <v/>
      </c>
      <c r="W126" s="264">
        <f>INDEX('Entrada de Dados'!T$6:T$196,MATCH($C126,'Entrada de Dados'!$A$6:$A$196,0))</f>
        <v/>
      </c>
      <c r="X126" s="264">
        <f>INDEX('Entrada de Dados'!U$6:U$196,MATCH($C126,'Entrada de Dados'!$A$6:$A$196,0))</f>
        <v/>
      </c>
    </row>
    <row r="127" ht="15" customHeight="1" s="163">
      <c r="A127" s="258" t="n">
        <v>4</v>
      </c>
      <c r="B127" s="258" t="n"/>
      <c r="C127" s="258" t="inlineStr">
        <is>
          <t>3050</t>
        </is>
      </c>
      <c r="D127" s="259">
        <f>HYPERLINK("#'CEI VILA LEOPOLDINA'!A1","CEI VILA LEOPOLDINA")</f>
        <v/>
      </c>
      <c r="E127" s="259" t="inlineStr">
        <is>
          <t>PEDRO DO RIO</t>
        </is>
      </c>
      <c r="F127" s="260">
        <f>INDEX('Entrada de Dados'!C$6:C$196,MATCH($C127,'Entrada de Dados'!$A$6:$A$196,0))</f>
        <v/>
      </c>
      <c r="G127" s="260">
        <f>INDEX('Entrada de Dados'!D$6:D$196,MATCH($C127,'Entrada de Dados'!$A$6:$A$196,0))</f>
        <v/>
      </c>
      <c r="H127" s="260">
        <f>INDEX('Entrada de Dados'!E$6:E$196,MATCH($C127,'Entrada de Dados'!$A$6:$A$196,0))</f>
        <v/>
      </c>
      <c r="I127" s="260">
        <f>INDEX('Entrada de Dados'!F$6:F$196,MATCH($C127,'Entrada de Dados'!$A$6:$A$196,0))</f>
        <v/>
      </c>
      <c r="J127" s="260">
        <f>INDEX('Entrada de Dados'!G$6:G$196,MATCH($C127,'Entrada de Dados'!$A$6:$A$196,0))</f>
        <v/>
      </c>
      <c r="K127" s="260">
        <f>INDEX('Entrada de Dados'!H$6:H$196,MATCH($C127,'Entrada de Dados'!$A$6:$A$196,0))</f>
        <v/>
      </c>
      <c r="L127" s="260">
        <f>INDEX('Entrada de Dados'!I$6:I$196,MATCH($C127,'Entrada de Dados'!$A$6:$A$196,0))</f>
        <v/>
      </c>
      <c r="M127" s="260">
        <f>INDEX('Entrada de Dados'!J$6:J$196,MATCH($C127,'Entrada de Dados'!$A$6:$A$196,0))</f>
        <v/>
      </c>
      <c r="N127" s="260">
        <f>INDEX('Entrada de Dados'!K$6:K$196,MATCH($C127,'Entrada de Dados'!$A$6:$A$196,0))</f>
        <v/>
      </c>
      <c r="O127" s="260">
        <f>INDEX('Entrada de Dados'!L$6:L$196,MATCH($C127,'Entrada de Dados'!$A$6:$A$196,0))</f>
        <v/>
      </c>
      <c r="P127" s="260">
        <f>INDEX('Entrada de Dados'!M$6:M$196,MATCH($C127,'Entrada de Dados'!$A$6:$A$196,0))</f>
        <v/>
      </c>
      <c r="Q127" s="260">
        <f>INDEX('Entrada de Dados'!N$6:N$196,MATCH($C127,'Entrada de Dados'!$A$6:$A$196,0))</f>
        <v/>
      </c>
      <c r="R127" s="260">
        <f>INDEX('Entrada de Dados'!O$6:O$196,MATCH($C127,'Entrada de Dados'!$A$6:$A$196,0))</f>
        <v/>
      </c>
      <c r="S127" s="260">
        <f>INDEX('Entrada de Dados'!P$6:P$196,MATCH($C127,'Entrada de Dados'!$A$6:$A$196,0))</f>
        <v/>
      </c>
      <c r="T127" s="260">
        <f>INDEX('Entrada de Dados'!Q$6:Q$196,MATCH($C127,'Entrada de Dados'!$A$6:$A$196,0))</f>
        <v/>
      </c>
      <c r="U127" s="260">
        <f>INDEX('Entrada de Dados'!R$6:R$196,MATCH($C127,'Entrada de Dados'!$A$6:$A$196,0))</f>
        <v/>
      </c>
      <c r="V127" s="260">
        <f>INDEX('Entrada de Dados'!S$6:S$196,MATCH($C127,'Entrada de Dados'!$A$6:$A$196,0))</f>
        <v/>
      </c>
      <c r="W127" s="260">
        <f>INDEX('Entrada de Dados'!T$6:T$196,MATCH($C127,'Entrada de Dados'!$A$6:$A$196,0))</f>
        <v/>
      </c>
      <c r="X127" s="260">
        <f>INDEX('Entrada de Dados'!U$6:U$196,MATCH($C127,'Entrada de Dados'!$A$6:$A$196,0))</f>
        <v/>
      </c>
    </row>
    <row r="128" ht="15" customHeight="1" s="163">
      <c r="A128" s="258" t="n">
        <v>5</v>
      </c>
      <c r="B128" s="258" t="n"/>
      <c r="C128" s="258" t="inlineStr">
        <is>
          <t>1065</t>
        </is>
      </c>
      <c r="D128" s="259">
        <f>HYPERLINK("#'E M TAQUARIL'!A1","E M TAQUARIL")</f>
        <v/>
      </c>
      <c r="E128" s="259" t="inlineStr">
        <is>
          <t>PEDRO DO RIO</t>
        </is>
      </c>
      <c r="F128" s="260">
        <f>INDEX('Entrada de Dados'!C$6:C$196,MATCH($C128,'Entrada de Dados'!$A$6:$A$196,0))</f>
        <v/>
      </c>
      <c r="G128" s="260">
        <f>INDEX('Entrada de Dados'!D$6:D$196,MATCH($C128,'Entrada de Dados'!$A$6:$A$196,0))</f>
        <v/>
      </c>
      <c r="H128" s="260">
        <f>INDEX('Entrada de Dados'!E$6:E$196,MATCH($C128,'Entrada de Dados'!$A$6:$A$196,0))</f>
        <v/>
      </c>
      <c r="I128" s="260">
        <f>INDEX('Entrada de Dados'!F$6:F$196,MATCH($C128,'Entrada de Dados'!$A$6:$A$196,0))</f>
        <v/>
      </c>
      <c r="J128" s="260">
        <f>INDEX('Entrada de Dados'!G$6:G$196,MATCH($C128,'Entrada de Dados'!$A$6:$A$196,0))</f>
        <v/>
      </c>
      <c r="K128" s="260">
        <f>INDEX('Entrada de Dados'!H$6:H$196,MATCH($C128,'Entrada de Dados'!$A$6:$A$196,0))</f>
        <v/>
      </c>
      <c r="L128" s="260">
        <f>INDEX('Entrada de Dados'!I$6:I$196,MATCH($C128,'Entrada de Dados'!$A$6:$A$196,0))</f>
        <v/>
      </c>
      <c r="M128" s="260">
        <f>INDEX('Entrada de Dados'!J$6:J$196,MATCH($C128,'Entrada de Dados'!$A$6:$A$196,0))</f>
        <v/>
      </c>
      <c r="N128" s="260">
        <f>INDEX('Entrada de Dados'!K$6:K$196,MATCH($C128,'Entrada de Dados'!$A$6:$A$196,0))</f>
        <v/>
      </c>
      <c r="O128" s="260">
        <f>INDEX('Entrada de Dados'!L$6:L$196,MATCH($C128,'Entrada de Dados'!$A$6:$A$196,0))</f>
        <v/>
      </c>
      <c r="P128" s="260">
        <f>INDEX('Entrada de Dados'!M$6:M$196,MATCH($C128,'Entrada de Dados'!$A$6:$A$196,0))</f>
        <v/>
      </c>
      <c r="Q128" s="260">
        <f>INDEX('Entrada de Dados'!N$6:N$196,MATCH($C128,'Entrada de Dados'!$A$6:$A$196,0))</f>
        <v/>
      </c>
      <c r="R128" s="260">
        <f>INDEX('Entrada de Dados'!O$6:O$196,MATCH($C128,'Entrada de Dados'!$A$6:$A$196,0))</f>
        <v/>
      </c>
      <c r="S128" s="260">
        <f>INDEX('Entrada de Dados'!P$6:P$196,MATCH($C128,'Entrada de Dados'!$A$6:$A$196,0))</f>
        <v/>
      </c>
      <c r="T128" s="260">
        <f>INDEX('Entrada de Dados'!Q$6:Q$196,MATCH($C128,'Entrada de Dados'!$A$6:$A$196,0))</f>
        <v/>
      </c>
      <c r="U128" s="260">
        <f>INDEX('Entrada de Dados'!R$6:R$196,MATCH($C128,'Entrada de Dados'!$A$6:$A$196,0))</f>
        <v/>
      </c>
      <c r="V128" s="260">
        <f>INDEX('Entrada de Dados'!S$6:S$196,MATCH($C128,'Entrada de Dados'!$A$6:$A$196,0))</f>
        <v/>
      </c>
      <c r="W128" s="260">
        <f>INDEX('Entrada de Dados'!T$6:T$196,MATCH($C128,'Entrada de Dados'!$A$6:$A$196,0))</f>
        <v/>
      </c>
      <c r="X128" s="260">
        <f>INDEX('Entrada de Dados'!U$6:U$196,MATCH($C128,'Entrada de Dados'!$A$6:$A$196,0))</f>
        <v/>
      </c>
    </row>
    <row r="129" ht="15" customHeight="1" s="163">
      <c r="A129" s="258" t="n">
        <v>6</v>
      </c>
      <c r="B129" s="258" t="n"/>
      <c r="C129" s="258" t="inlineStr">
        <is>
          <t>1057</t>
        </is>
      </c>
      <c r="D129" s="259">
        <f>HYPERLINK("#'E M DR BARROS FRANCO'!A1","E M DR BARROS FRANCO")</f>
        <v/>
      </c>
      <c r="E129" s="259" t="inlineStr">
        <is>
          <t>SECRETÁRIO</t>
        </is>
      </c>
      <c r="F129" s="260">
        <f>INDEX('Entrada de Dados'!C$6:C$196,MATCH($C129,'Entrada de Dados'!$A$6:$A$196,0))</f>
        <v/>
      </c>
      <c r="G129" s="260">
        <f>INDEX('Entrada de Dados'!D$6:D$196,MATCH($C129,'Entrada de Dados'!$A$6:$A$196,0))</f>
        <v/>
      </c>
      <c r="H129" s="260">
        <f>INDEX('Entrada de Dados'!E$6:E$196,MATCH($C129,'Entrada de Dados'!$A$6:$A$196,0))</f>
        <v/>
      </c>
      <c r="I129" s="260">
        <f>INDEX('Entrada de Dados'!F$6:F$196,MATCH($C129,'Entrada de Dados'!$A$6:$A$196,0))</f>
        <v/>
      </c>
      <c r="J129" s="260">
        <f>INDEX('Entrada de Dados'!G$6:G$196,MATCH($C129,'Entrada de Dados'!$A$6:$A$196,0))</f>
        <v/>
      </c>
      <c r="K129" s="260">
        <f>INDEX('Entrada de Dados'!H$6:H$196,MATCH($C129,'Entrada de Dados'!$A$6:$A$196,0))</f>
        <v/>
      </c>
      <c r="L129" s="260">
        <f>INDEX('Entrada de Dados'!I$6:I$196,MATCH($C129,'Entrada de Dados'!$A$6:$A$196,0))</f>
        <v/>
      </c>
      <c r="M129" s="260">
        <f>INDEX('Entrada de Dados'!J$6:J$196,MATCH($C129,'Entrada de Dados'!$A$6:$A$196,0))</f>
        <v/>
      </c>
      <c r="N129" s="260">
        <f>INDEX('Entrada de Dados'!K$6:K$196,MATCH($C129,'Entrada de Dados'!$A$6:$A$196,0))</f>
        <v/>
      </c>
      <c r="O129" s="260">
        <f>INDEX('Entrada de Dados'!L$6:L$196,MATCH($C129,'Entrada de Dados'!$A$6:$A$196,0))</f>
        <v/>
      </c>
      <c r="P129" s="260">
        <f>INDEX('Entrada de Dados'!M$6:M$196,MATCH($C129,'Entrada de Dados'!$A$6:$A$196,0))</f>
        <v/>
      </c>
      <c r="Q129" s="260">
        <f>INDEX('Entrada de Dados'!N$6:N$196,MATCH($C129,'Entrada de Dados'!$A$6:$A$196,0))</f>
        <v/>
      </c>
      <c r="R129" s="260">
        <f>INDEX('Entrada de Dados'!O$6:O$196,MATCH($C129,'Entrada de Dados'!$A$6:$A$196,0))</f>
        <v/>
      </c>
      <c r="S129" s="260">
        <f>INDEX('Entrada de Dados'!P$6:P$196,MATCH($C129,'Entrada de Dados'!$A$6:$A$196,0))</f>
        <v/>
      </c>
      <c r="T129" s="260">
        <f>INDEX('Entrada de Dados'!Q$6:Q$196,MATCH($C129,'Entrada de Dados'!$A$6:$A$196,0))</f>
        <v/>
      </c>
      <c r="U129" s="260">
        <f>INDEX('Entrada de Dados'!R$6:R$196,MATCH($C129,'Entrada de Dados'!$A$6:$A$196,0))</f>
        <v/>
      </c>
      <c r="V129" s="260">
        <f>INDEX('Entrada de Dados'!S$6:S$196,MATCH($C129,'Entrada de Dados'!$A$6:$A$196,0))</f>
        <v/>
      </c>
      <c r="W129" s="260">
        <f>INDEX('Entrada de Dados'!T$6:T$196,MATCH($C129,'Entrada de Dados'!$A$6:$A$196,0))</f>
        <v/>
      </c>
      <c r="X129" s="260">
        <f>INDEX('Entrada de Dados'!U$6:U$196,MATCH($C129,'Entrada de Dados'!$A$6:$A$196,0))</f>
        <v/>
      </c>
    </row>
    <row r="130" ht="15" customHeight="1" s="163">
      <c r="A130" s="258" t="n">
        <v>7</v>
      </c>
      <c r="B130" s="258" t="n"/>
      <c r="C130" s="258" t="inlineStr">
        <is>
          <t>1060</t>
        </is>
      </c>
      <c r="D130" s="259">
        <f>HYPERLINK("#'E M MAJOR THEÓFILO DE CARVALHO'!A1","E M MAJOR THEÓFILO DE CARVALHO")</f>
        <v/>
      </c>
      <c r="E130" s="259" t="inlineStr">
        <is>
          <t>SECRETÁRIO</t>
        </is>
      </c>
      <c r="F130" s="260">
        <f>INDEX('Entrada de Dados'!C$6:C$196,MATCH($C130,'Entrada de Dados'!$A$6:$A$196,0))</f>
        <v/>
      </c>
      <c r="G130" s="260">
        <f>INDEX('Entrada de Dados'!D$6:D$196,MATCH($C130,'Entrada de Dados'!$A$6:$A$196,0))</f>
        <v/>
      </c>
      <c r="H130" s="260">
        <f>INDEX('Entrada de Dados'!E$6:E$196,MATCH($C130,'Entrada de Dados'!$A$6:$A$196,0))</f>
        <v/>
      </c>
      <c r="I130" s="260">
        <f>INDEX('Entrada de Dados'!F$6:F$196,MATCH($C130,'Entrada de Dados'!$A$6:$A$196,0))</f>
        <v/>
      </c>
      <c r="J130" s="260">
        <f>INDEX('Entrada de Dados'!G$6:G$196,MATCH($C130,'Entrada de Dados'!$A$6:$A$196,0))</f>
        <v/>
      </c>
      <c r="K130" s="260">
        <f>INDEX('Entrada de Dados'!H$6:H$196,MATCH($C130,'Entrada de Dados'!$A$6:$A$196,0))</f>
        <v/>
      </c>
      <c r="L130" s="260">
        <f>INDEX('Entrada de Dados'!I$6:I$196,MATCH($C130,'Entrada de Dados'!$A$6:$A$196,0))</f>
        <v/>
      </c>
      <c r="M130" s="260">
        <f>INDEX('Entrada de Dados'!J$6:J$196,MATCH($C130,'Entrada de Dados'!$A$6:$A$196,0))</f>
        <v/>
      </c>
      <c r="N130" s="260">
        <f>INDEX('Entrada de Dados'!K$6:K$196,MATCH($C130,'Entrada de Dados'!$A$6:$A$196,0))</f>
        <v/>
      </c>
      <c r="O130" s="260">
        <f>INDEX('Entrada de Dados'!L$6:L$196,MATCH($C130,'Entrada de Dados'!$A$6:$A$196,0))</f>
        <v/>
      </c>
      <c r="P130" s="260">
        <f>INDEX('Entrada de Dados'!M$6:M$196,MATCH($C130,'Entrada de Dados'!$A$6:$A$196,0))</f>
        <v/>
      </c>
      <c r="Q130" s="260">
        <f>INDEX('Entrada de Dados'!N$6:N$196,MATCH($C130,'Entrada de Dados'!$A$6:$A$196,0))</f>
        <v/>
      </c>
      <c r="R130" s="260">
        <f>INDEX('Entrada de Dados'!O$6:O$196,MATCH($C130,'Entrada de Dados'!$A$6:$A$196,0))</f>
        <v/>
      </c>
      <c r="S130" s="260">
        <f>INDEX('Entrada de Dados'!P$6:P$196,MATCH($C130,'Entrada de Dados'!$A$6:$A$196,0))</f>
        <v/>
      </c>
      <c r="T130" s="260">
        <f>INDEX('Entrada de Dados'!Q$6:Q$196,MATCH($C130,'Entrada de Dados'!$A$6:$A$196,0))</f>
        <v/>
      </c>
      <c r="U130" s="260">
        <f>INDEX('Entrada de Dados'!R$6:R$196,MATCH($C130,'Entrada de Dados'!$A$6:$A$196,0))</f>
        <v/>
      </c>
      <c r="V130" s="260">
        <f>INDEX('Entrada de Dados'!S$6:S$196,MATCH($C130,'Entrada de Dados'!$A$6:$A$196,0))</f>
        <v/>
      </c>
      <c r="W130" s="260">
        <f>INDEX('Entrada de Dados'!T$6:T$196,MATCH($C130,'Entrada de Dados'!$A$6:$A$196,0))</f>
        <v/>
      </c>
      <c r="X130" s="260">
        <f>INDEX('Entrada de Dados'!U$6:U$196,MATCH($C130,'Entrada de Dados'!$A$6:$A$196,0))</f>
        <v/>
      </c>
    </row>
    <row r="131" ht="15" customHeight="1" s="163">
      <c r="A131" s="258" t="n">
        <v>8</v>
      </c>
      <c r="B131" s="258" t="n"/>
      <c r="C131" s="258" t="inlineStr">
        <is>
          <t>3013</t>
        </is>
      </c>
      <c r="D131" s="259">
        <f>HYPERLINK("#'CEI CRIANÇA SANTA EDWIGES'!A1","CEI CRIANÇA SANTA EDWIGES")</f>
        <v/>
      </c>
      <c r="E131" s="259" t="inlineStr">
        <is>
          <t>VILA RICA</t>
        </is>
      </c>
      <c r="F131" s="260">
        <f>INDEX('Entrada de Dados'!C$6:C$196,MATCH($C131,'Entrada de Dados'!$A$6:$A$196,0))</f>
        <v/>
      </c>
      <c r="G131" s="260">
        <f>INDEX('Entrada de Dados'!D$6:D$196,MATCH($C131,'Entrada de Dados'!$A$6:$A$196,0))</f>
        <v/>
      </c>
      <c r="H131" s="260">
        <f>INDEX('Entrada de Dados'!E$6:E$196,MATCH($C131,'Entrada de Dados'!$A$6:$A$196,0))</f>
        <v/>
      </c>
      <c r="I131" s="260">
        <f>INDEX('Entrada de Dados'!F$6:F$196,MATCH($C131,'Entrada de Dados'!$A$6:$A$196,0))</f>
        <v/>
      </c>
      <c r="J131" s="260">
        <f>INDEX('Entrada de Dados'!G$6:G$196,MATCH($C131,'Entrada de Dados'!$A$6:$A$196,0))</f>
        <v/>
      </c>
      <c r="K131" s="260">
        <f>INDEX('Entrada de Dados'!H$6:H$196,MATCH($C131,'Entrada de Dados'!$A$6:$A$196,0))</f>
        <v/>
      </c>
      <c r="L131" s="260">
        <f>INDEX('Entrada de Dados'!I$6:I$196,MATCH($C131,'Entrada de Dados'!$A$6:$A$196,0))</f>
        <v/>
      </c>
      <c r="M131" s="260">
        <f>INDEX('Entrada de Dados'!J$6:J$196,MATCH($C131,'Entrada de Dados'!$A$6:$A$196,0))</f>
        <v/>
      </c>
      <c r="N131" s="260">
        <f>INDEX('Entrada de Dados'!K$6:K$196,MATCH($C131,'Entrada de Dados'!$A$6:$A$196,0))</f>
        <v/>
      </c>
      <c r="O131" s="260">
        <f>INDEX('Entrada de Dados'!L$6:L$196,MATCH($C131,'Entrada de Dados'!$A$6:$A$196,0))</f>
        <v/>
      </c>
      <c r="P131" s="260">
        <f>INDEX('Entrada de Dados'!M$6:M$196,MATCH($C131,'Entrada de Dados'!$A$6:$A$196,0))</f>
        <v/>
      </c>
      <c r="Q131" s="260">
        <f>INDEX('Entrada de Dados'!N$6:N$196,MATCH($C131,'Entrada de Dados'!$A$6:$A$196,0))</f>
        <v/>
      </c>
      <c r="R131" s="260">
        <f>INDEX('Entrada de Dados'!O$6:O$196,MATCH($C131,'Entrada de Dados'!$A$6:$A$196,0))</f>
        <v/>
      </c>
      <c r="S131" s="260">
        <f>INDEX('Entrada de Dados'!P$6:P$196,MATCH($C131,'Entrada de Dados'!$A$6:$A$196,0))</f>
        <v/>
      </c>
      <c r="T131" s="260">
        <f>INDEX('Entrada de Dados'!Q$6:Q$196,MATCH($C131,'Entrada de Dados'!$A$6:$A$196,0))</f>
        <v/>
      </c>
      <c r="U131" s="260">
        <f>INDEX('Entrada de Dados'!R$6:R$196,MATCH($C131,'Entrada de Dados'!$A$6:$A$196,0))</f>
        <v/>
      </c>
      <c r="V131" s="260">
        <f>INDEX('Entrada de Dados'!S$6:S$196,MATCH($C131,'Entrada de Dados'!$A$6:$A$196,0))</f>
        <v/>
      </c>
      <c r="W131" s="260">
        <f>INDEX('Entrada de Dados'!T$6:T$196,MATCH($C131,'Entrada de Dados'!$A$6:$A$196,0))</f>
        <v/>
      </c>
      <c r="X131" s="260">
        <f>INDEX('Entrada de Dados'!U$6:U$196,MATCH($C131,'Entrada de Dados'!$A$6:$A$196,0))</f>
        <v/>
      </c>
    </row>
    <row r="132" ht="15" customHeight="1" s="163">
      <c r="A132" s="258" t="n">
        <v>9</v>
      </c>
      <c r="B132" s="258" t="n"/>
      <c r="C132" s="258" t="inlineStr">
        <is>
          <t>1102</t>
        </is>
      </c>
      <c r="D132" s="259">
        <f>HYPERLINK("#'E MZDA SANTA TEREZINHA'!A1","E MZDA SANTA TEREZINHA")</f>
        <v/>
      </c>
      <c r="E132" s="259" t="inlineStr">
        <is>
          <t>VILA RICA</t>
        </is>
      </c>
      <c r="F132" s="260">
        <f>INDEX('Entrada de Dados'!C$6:C$196,MATCH($C132,'Entrada de Dados'!$A$6:$A$196,0))</f>
        <v/>
      </c>
      <c r="G132" s="260">
        <f>INDEX('Entrada de Dados'!D$6:D$196,MATCH($C132,'Entrada de Dados'!$A$6:$A$196,0))</f>
        <v/>
      </c>
      <c r="H132" s="260">
        <f>INDEX('Entrada de Dados'!E$6:E$196,MATCH($C132,'Entrada de Dados'!$A$6:$A$196,0))</f>
        <v/>
      </c>
      <c r="I132" s="260">
        <f>INDEX('Entrada de Dados'!F$6:F$196,MATCH($C132,'Entrada de Dados'!$A$6:$A$196,0))</f>
        <v/>
      </c>
      <c r="J132" s="260">
        <f>INDEX('Entrada de Dados'!G$6:G$196,MATCH($C132,'Entrada de Dados'!$A$6:$A$196,0))</f>
        <v/>
      </c>
      <c r="K132" s="260">
        <f>INDEX('Entrada de Dados'!H$6:H$196,MATCH($C132,'Entrada de Dados'!$A$6:$A$196,0))</f>
        <v/>
      </c>
      <c r="L132" s="260">
        <f>INDEX('Entrada de Dados'!I$6:I$196,MATCH($C132,'Entrada de Dados'!$A$6:$A$196,0))</f>
        <v/>
      </c>
      <c r="M132" s="260">
        <f>INDEX('Entrada de Dados'!J$6:J$196,MATCH($C132,'Entrada de Dados'!$A$6:$A$196,0))</f>
        <v/>
      </c>
      <c r="N132" s="260">
        <f>INDEX('Entrada de Dados'!K$6:K$196,MATCH($C132,'Entrada de Dados'!$A$6:$A$196,0))</f>
        <v/>
      </c>
      <c r="O132" s="260">
        <f>INDEX('Entrada de Dados'!L$6:L$196,MATCH($C132,'Entrada de Dados'!$A$6:$A$196,0))</f>
        <v/>
      </c>
      <c r="P132" s="260">
        <f>INDEX('Entrada de Dados'!M$6:M$196,MATCH($C132,'Entrada de Dados'!$A$6:$A$196,0))</f>
        <v/>
      </c>
      <c r="Q132" s="260">
        <f>INDEX('Entrada de Dados'!N$6:N$196,MATCH($C132,'Entrada de Dados'!$A$6:$A$196,0))</f>
        <v/>
      </c>
      <c r="R132" s="260">
        <f>INDEX('Entrada de Dados'!O$6:O$196,MATCH($C132,'Entrada de Dados'!$A$6:$A$196,0))</f>
        <v/>
      </c>
      <c r="S132" s="260">
        <f>INDEX('Entrada de Dados'!P$6:P$196,MATCH($C132,'Entrada de Dados'!$A$6:$A$196,0))</f>
        <v/>
      </c>
      <c r="T132" s="260">
        <f>INDEX('Entrada de Dados'!Q$6:Q$196,MATCH($C132,'Entrada de Dados'!$A$6:$A$196,0))</f>
        <v/>
      </c>
      <c r="U132" s="260">
        <f>INDEX('Entrada de Dados'!R$6:R$196,MATCH($C132,'Entrada de Dados'!$A$6:$A$196,0))</f>
        <v/>
      </c>
      <c r="V132" s="260">
        <f>INDEX('Entrada de Dados'!S$6:S$196,MATCH($C132,'Entrada de Dados'!$A$6:$A$196,0))</f>
        <v/>
      </c>
      <c r="W132" s="260">
        <f>INDEX('Entrada de Dados'!T$6:T$196,MATCH($C132,'Entrada de Dados'!$A$6:$A$196,0))</f>
        <v/>
      </c>
      <c r="X132" s="260">
        <f>INDEX('Entrada de Dados'!U$6:U$196,MATCH($C132,'Entrada de Dados'!$A$6:$A$196,0))</f>
        <v/>
      </c>
    </row>
    <row r="133" ht="21.75" customHeight="1" s="163">
      <c r="A133" s="265" t="inlineStr">
        <is>
          <t>Peso previsto:</t>
        </is>
      </c>
      <c r="C133" s="266">
        <f>SUM(F123:F132)+SUM(G123:G132)+SUM(H123:H132)+SUM(I123:I132)+SUM(J123:J132)+SUM(K123:K132)+SUM(L123:L132)+SUM(M123:M132)+SUM(N123:N132)+SUM(O123:O132)+SUM(P123:P132)+SUM(Q123:Q132)+SUM(R123:R132)+SUM(S123:S132)+SUM(T123:T132)+SUM(U123:U132)+SUM(W123:W132)+SUM(X123:X132)</f>
        <v/>
      </c>
      <c r="D133" s="265" t="inlineStr">
        <is>
          <t>Peso embarcado (kg):</t>
        </is>
      </c>
      <c r="F133" s="267" t="n"/>
      <c r="G133" s="265" t="inlineStr">
        <is>
          <t>Veículo:</t>
        </is>
      </c>
      <c r="I133" s="267" t="n"/>
      <c r="J133" s="268" t="n"/>
      <c r="K133" s="265" t="inlineStr">
        <is>
          <t>Motorista:</t>
        </is>
      </c>
      <c r="M133" s="267" t="n"/>
      <c r="N133" s="269" t="n"/>
      <c r="O133" s="269" t="n"/>
      <c r="P133" s="269" t="n"/>
      <c r="Q133" s="269" t="n"/>
      <c r="R133" s="269" t="n"/>
      <c r="S133" s="269" t="n"/>
      <c r="T133" s="269" t="n"/>
      <c r="U133" s="269" t="n"/>
      <c r="V133" s="269" t="n"/>
      <c r="W133" s="269" t="n"/>
      <c r="X133" s="268" t="n"/>
    </row>
    <row r="135" ht="19.5" customHeight="1" s="163">
      <c r="A135" s="186" t="inlineStr">
        <is>
          <t>ROTA S9 — POSSE - EIXO PRINCIPAL · CAMINHÃO LEVE / KOMBI · 4 escolas · 4 paradas físicas</t>
        </is>
      </c>
    </row>
    <row r="136" ht="25.5" customHeight="1" s="163">
      <c r="A136" s="256" t="inlineStr">
        <is>
          <t>Sequência-base: Galpão Itaipava &gt; União e Indústria &gt; Reta da Posse &gt; Centro da Posse &gt; Galpão   Atenção: Eixo principal. Pode receber caminhão leve se peso, estacionamento e manobra forem compatíveis.</t>
        </is>
      </c>
    </row>
    <row r="137" ht="30" customHeight="1" s="163">
      <c r="A137" s="257" t="inlineStr">
        <is>
          <t>PAR.</t>
        </is>
      </c>
      <c r="B137" s="257" t="inlineStr">
        <is>
          <t>SUB</t>
        </is>
      </c>
      <c r="C137" s="257" t="inlineStr">
        <is>
          <t>CÓDIGO</t>
        </is>
      </c>
      <c r="D137" s="257" t="inlineStr">
        <is>
          <t>ESCOLA</t>
        </is>
      </c>
      <c r="E137" s="257" t="inlineStr">
        <is>
          <t>BAIRRO/CORREDOR</t>
        </is>
      </c>
      <c r="F137" s="257" t="inlineStr">
        <is>
          <t>Abacate</t>
        </is>
      </c>
      <c r="G137" s="257" t="inlineStr">
        <is>
          <t>Abobrinha</t>
        </is>
      </c>
      <c r="H137" s="257" t="inlineStr">
        <is>
          <t>Agrião</t>
        </is>
      </c>
      <c r="I137" s="257" t="inlineStr">
        <is>
          <t>Alface lisa</t>
        </is>
      </c>
      <c r="J137" s="257" t="inlineStr">
        <is>
          <t>Banana prata</t>
        </is>
      </c>
      <c r="K137" s="257" t="inlineStr">
        <is>
          <t>Batata inglesa</t>
        </is>
      </c>
      <c r="L137" s="257" t="inlineStr">
        <is>
          <t>Beterraba</t>
        </is>
      </c>
      <c r="M137" s="257" t="inlineStr">
        <is>
          <t>Brócolis</t>
        </is>
      </c>
      <c r="N137" s="257" t="inlineStr">
        <is>
          <t>Cenoura</t>
        </is>
      </c>
      <c r="O137" s="257" t="inlineStr">
        <is>
          <t>Cheiro verde</t>
        </is>
      </c>
      <c r="P137" s="257" t="inlineStr">
        <is>
          <t>Chuchu</t>
        </is>
      </c>
      <c r="Q137" s="257" t="inlineStr">
        <is>
          <t>Couve manteiga</t>
        </is>
      </c>
      <c r="R137" s="257" t="inlineStr">
        <is>
          <t>Couve-flor</t>
        </is>
      </c>
      <c r="S137" s="257" t="inlineStr">
        <is>
          <t>Espinafre</t>
        </is>
      </c>
      <c r="T137" s="257" t="inlineStr">
        <is>
          <t>Maçã gala</t>
        </is>
      </c>
      <c r="U137" s="257" t="inlineStr">
        <is>
          <t>Mel</t>
        </is>
      </c>
      <c r="V137" s="257" t="inlineStr">
        <is>
          <t>Ovos (dz)</t>
        </is>
      </c>
      <c r="W137" s="257" t="inlineStr">
        <is>
          <t>Repolho</t>
        </is>
      </c>
      <c r="X137" s="257" t="inlineStr">
        <is>
          <t>Tangerina ponkan</t>
        </is>
      </c>
    </row>
    <row r="138" ht="15" customHeight="1" s="163">
      <c r="A138" s="258" t="n">
        <v>1</v>
      </c>
      <c r="B138" s="258" t="n"/>
      <c r="C138" s="258" t="inlineStr">
        <is>
          <t>1067</t>
        </is>
      </c>
      <c r="D138" s="259">
        <f>HYPERLINK("#'E M BEATRIZ ZALESKI'!A1","E M BEATRIZ ZALESKI")</f>
        <v/>
      </c>
      <c r="E138" s="259" t="inlineStr">
        <is>
          <t>POSSE</t>
        </is>
      </c>
      <c r="F138" s="260">
        <f>INDEX('Entrada de Dados'!C$6:C$196,MATCH($C138,'Entrada de Dados'!$A$6:$A$196,0))</f>
        <v/>
      </c>
      <c r="G138" s="260">
        <f>INDEX('Entrada de Dados'!D$6:D$196,MATCH($C138,'Entrada de Dados'!$A$6:$A$196,0))</f>
        <v/>
      </c>
      <c r="H138" s="260">
        <f>INDEX('Entrada de Dados'!E$6:E$196,MATCH($C138,'Entrada de Dados'!$A$6:$A$196,0))</f>
        <v/>
      </c>
      <c r="I138" s="260">
        <f>INDEX('Entrada de Dados'!F$6:F$196,MATCH($C138,'Entrada de Dados'!$A$6:$A$196,0))</f>
        <v/>
      </c>
      <c r="J138" s="260">
        <f>INDEX('Entrada de Dados'!G$6:G$196,MATCH($C138,'Entrada de Dados'!$A$6:$A$196,0))</f>
        <v/>
      </c>
      <c r="K138" s="260">
        <f>INDEX('Entrada de Dados'!H$6:H$196,MATCH($C138,'Entrada de Dados'!$A$6:$A$196,0))</f>
        <v/>
      </c>
      <c r="L138" s="260">
        <f>INDEX('Entrada de Dados'!I$6:I$196,MATCH($C138,'Entrada de Dados'!$A$6:$A$196,0))</f>
        <v/>
      </c>
      <c r="M138" s="260">
        <f>INDEX('Entrada de Dados'!J$6:J$196,MATCH($C138,'Entrada de Dados'!$A$6:$A$196,0))</f>
        <v/>
      </c>
      <c r="N138" s="260">
        <f>INDEX('Entrada de Dados'!K$6:K$196,MATCH($C138,'Entrada de Dados'!$A$6:$A$196,0))</f>
        <v/>
      </c>
      <c r="O138" s="260">
        <f>INDEX('Entrada de Dados'!L$6:L$196,MATCH($C138,'Entrada de Dados'!$A$6:$A$196,0))</f>
        <v/>
      </c>
      <c r="P138" s="260">
        <f>INDEX('Entrada de Dados'!M$6:M$196,MATCH($C138,'Entrada de Dados'!$A$6:$A$196,0))</f>
        <v/>
      </c>
      <c r="Q138" s="260">
        <f>INDEX('Entrada de Dados'!N$6:N$196,MATCH($C138,'Entrada de Dados'!$A$6:$A$196,0))</f>
        <v/>
      </c>
      <c r="R138" s="260">
        <f>INDEX('Entrada de Dados'!O$6:O$196,MATCH($C138,'Entrada de Dados'!$A$6:$A$196,0))</f>
        <v/>
      </c>
      <c r="S138" s="260">
        <f>INDEX('Entrada de Dados'!P$6:P$196,MATCH($C138,'Entrada de Dados'!$A$6:$A$196,0))</f>
        <v/>
      </c>
      <c r="T138" s="260">
        <f>INDEX('Entrada de Dados'!Q$6:Q$196,MATCH($C138,'Entrada de Dados'!$A$6:$A$196,0))</f>
        <v/>
      </c>
      <c r="U138" s="260">
        <f>INDEX('Entrada de Dados'!R$6:R$196,MATCH($C138,'Entrada de Dados'!$A$6:$A$196,0))</f>
        <v/>
      </c>
      <c r="V138" s="260">
        <f>INDEX('Entrada de Dados'!S$6:S$196,MATCH($C138,'Entrada de Dados'!$A$6:$A$196,0))</f>
        <v/>
      </c>
      <c r="W138" s="260">
        <f>INDEX('Entrada de Dados'!T$6:T$196,MATCH($C138,'Entrada de Dados'!$A$6:$A$196,0))</f>
        <v/>
      </c>
      <c r="X138" s="260">
        <f>INDEX('Entrada de Dados'!U$6:U$196,MATCH($C138,'Entrada de Dados'!$A$6:$A$196,0))</f>
        <v/>
      </c>
    </row>
    <row r="139" ht="15" customHeight="1" s="163">
      <c r="A139" s="258" t="n">
        <v>2</v>
      </c>
      <c r="B139" s="258" t="n"/>
      <c r="C139" s="258" t="inlineStr">
        <is>
          <t>1055</t>
        </is>
      </c>
      <c r="D139" s="259">
        <f>HYPERLINK("#'E M CARLOS CANEDO'!A1","E M CARLOS CANEDO")</f>
        <v/>
      </c>
      <c r="E139" s="259" t="inlineStr">
        <is>
          <t>POSSE</t>
        </is>
      </c>
      <c r="F139" s="260">
        <f>INDEX('Entrada de Dados'!C$6:C$196,MATCH($C139,'Entrada de Dados'!$A$6:$A$196,0))</f>
        <v/>
      </c>
      <c r="G139" s="260">
        <f>INDEX('Entrada de Dados'!D$6:D$196,MATCH($C139,'Entrada de Dados'!$A$6:$A$196,0))</f>
        <v/>
      </c>
      <c r="H139" s="260">
        <f>INDEX('Entrada de Dados'!E$6:E$196,MATCH($C139,'Entrada de Dados'!$A$6:$A$196,0))</f>
        <v/>
      </c>
      <c r="I139" s="260">
        <f>INDEX('Entrada de Dados'!F$6:F$196,MATCH($C139,'Entrada de Dados'!$A$6:$A$196,0))</f>
        <v/>
      </c>
      <c r="J139" s="260">
        <f>INDEX('Entrada de Dados'!G$6:G$196,MATCH($C139,'Entrada de Dados'!$A$6:$A$196,0))</f>
        <v/>
      </c>
      <c r="K139" s="260">
        <f>INDEX('Entrada de Dados'!H$6:H$196,MATCH($C139,'Entrada de Dados'!$A$6:$A$196,0))</f>
        <v/>
      </c>
      <c r="L139" s="260">
        <f>INDEX('Entrada de Dados'!I$6:I$196,MATCH($C139,'Entrada de Dados'!$A$6:$A$196,0))</f>
        <v/>
      </c>
      <c r="M139" s="260">
        <f>INDEX('Entrada de Dados'!J$6:J$196,MATCH($C139,'Entrada de Dados'!$A$6:$A$196,0))</f>
        <v/>
      </c>
      <c r="N139" s="260">
        <f>INDEX('Entrada de Dados'!K$6:K$196,MATCH($C139,'Entrada de Dados'!$A$6:$A$196,0))</f>
        <v/>
      </c>
      <c r="O139" s="260">
        <f>INDEX('Entrada de Dados'!L$6:L$196,MATCH($C139,'Entrada de Dados'!$A$6:$A$196,0))</f>
        <v/>
      </c>
      <c r="P139" s="260">
        <f>INDEX('Entrada de Dados'!M$6:M$196,MATCH($C139,'Entrada de Dados'!$A$6:$A$196,0))</f>
        <v/>
      </c>
      <c r="Q139" s="260">
        <f>INDEX('Entrada de Dados'!N$6:N$196,MATCH($C139,'Entrada de Dados'!$A$6:$A$196,0))</f>
        <v/>
      </c>
      <c r="R139" s="260">
        <f>INDEX('Entrada de Dados'!O$6:O$196,MATCH($C139,'Entrada de Dados'!$A$6:$A$196,0))</f>
        <v/>
      </c>
      <c r="S139" s="260">
        <f>INDEX('Entrada de Dados'!P$6:P$196,MATCH($C139,'Entrada de Dados'!$A$6:$A$196,0))</f>
        <v/>
      </c>
      <c r="T139" s="260">
        <f>INDEX('Entrada de Dados'!Q$6:Q$196,MATCH($C139,'Entrada de Dados'!$A$6:$A$196,0))</f>
        <v/>
      </c>
      <c r="U139" s="260">
        <f>INDEX('Entrada de Dados'!R$6:R$196,MATCH($C139,'Entrada de Dados'!$A$6:$A$196,0))</f>
        <v/>
      </c>
      <c r="V139" s="260">
        <f>INDEX('Entrada de Dados'!S$6:S$196,MATCH($C139,'Entrada de Dados'!$A$6:$A$196,0))</f>
        <v/>
      </c>
      <c r="W139" s="260">
        <f>INDEX('Entrada de Dados'!T$6:T$196,MATCH($C139,'Entrada de Dados'!$A$6:$A$196,0))</f>
        <v/>
      </c>
      <c r="X139" s="260">
        <f>INDEX('Entrada de Dados'!U$6:U$196,MATCH($C139,'Entrada de Dados'!$A$6:$A$196,0))</f>
        <v/>
      </c>
    </row>
    <row r="140" ht="15" customHeight="1" s="163">
      <c r="A140" s="258" t="n">
        <v>3</v>
      </c>
      <c r="B140" s="258" t="n"/>
      <c r="C140" s="258" t="inlineStr">
        <is>
          <t>3044</t>
        </is>
      </c>
      <c r="D140" s="259">
        <f>HYPERLINK("#'CEI ANGELA MARIA DA CONCEIÇÃO S'!A1","CEI ANGELA MARIA DA CONCEIÇÃO SILVA")</f>
        <v/>
      </c>
      <c r="E140" s="259" t="inlineStr">
        <is>
          <t>POSSE</t>
        </is>
      </c>
      <c r="F140" s="260">
        <f>INDEX('Entrada de Dados'!C$6:C$196,MATCH($C140,'Entrada de Dados'!$A$6:$A$196,0))</f>
        <v/>
      </c>
      <c r="G140" s="260">
        <f>INDEX('Entrada de Dados'!D$6:D$196,MATCH($C140,'Entrada de Dados'!$A$6:$A$196,0))</f>
        <v/>
      </c>
      <c r="H140" s="260">
        <f>INDEX('Entrada de Dados'!E$6:E$196,MATCH($C140,'Entrada de Dados'!$A$6:$A$196,0))</f>
        <v/>
      </c>
      <c r="I140" s="260">
        <f>INDEX('Entrada de Dados'!F$6:F$196,MATCH($C140,'Entrada de Dados'!$A$6:$A$196,0))</f>
        <v/>
      </c>
      <c r="J140" s="260">
        <f>INDEX('Entrada de Dados'!G$6:G$196,MATCH($C140,'Entrada de Dados'!$A$6:$A$196,0))</f>
        <v/>
      </c>
      <c r="K140" s="260">
        <f>INDEX('Entrada de Dados'!H$6:H$196,MATCH($C140,'Entrada de Dados'!$A$6:$A$196,0))</f>
        <v/>
      </c>
      <c r="L140" s="260">
        <f>INDEX('Entrada de Dados'!I$6:I$196,MATCH($C140,'Entrada de Dados'!$A$6:$A$196,0))</f>
        <v/>
      </c>
      <c r="M140" s="260">
        <f>INDEX('Entrada de Dados'!J$6:J$196,MATCH($C140,'Entrada de Dados'!$A$6:$A$196,0))</f>
        <v/>
      </c>
      <c r="N140" s="260">
        <f>INDEX('Entrada de Dados'!K$6:K$196,MATCH($C140,'Entrada de Dados'!$A$6:$A$196,0))</f>
        <v/>
      </c>
      <c r="O140" s="260">
        <f>INDEX('Entrada de Dados'!L$6:L$196,MATCH($C140,'Entrada de Dados'!$A$6:$A$196,0))</f>
        <v/>
      </c>
      <c r="P140" s="260">
        <f>INDEX('Entrada de Dados'!M$6:M$196,MATCH($C140,'Entrada de Dados'!$A$6:$A$196,0))</f>
        <v/>
      </c>
      <c r="Q140" s="260">
        <f>INDEX('Entrada de Dados'!N$6:N$196,MATCH($C140,'Entrada de Dados'!$A$6:$A$196,0))</f>
        <v/>
      </c>
      <c r="R140" s="260">
        <f>INDEX('Entrada de Dados'!O$6:O$196,MATCH($C140,'Entrada de Dados'!$A$6:$A$196,0))</f>
        <v/>
      </c>
      <c r="S140" s="260">
        <f>INDEX('Entrada de Dados'!P$6:P$196,MATCH($C140,'Entrada de Dados'!$A$6:$A$196,0))</f>
        <v/>
      </c>
      <c r="T140" s="260">
        <f>INDEX('Entrada de Dados'!Q$6:Q$196,MATCH($C140,'Entrada de Dados'!$A$6:$A$196,0))</f>
        <v/>
      </c>
      <c r="U140" s="260">
        <f>INDEX('Entrada de Dados'!R$6:R$196,MATCH($C140,'Entrada de Dados'!$A$6:$A$196,0))</f>
        <v/>
      </c>
      <c r="V140" s="260">
        <f>INDEX('Entrada de Dados'!S$6:S$196,MATCH($C140,'Entrada de Dados'!$A$6:$A$196,0))</f>
        <v/>
      </c>
      <c r="W140" s="260">
        <f>INDEX('Entrada de Dados'!T$6:T$196,MATCH($C140,'Entrada de Dados'!$A$6:$A$196,0))</f>
        <v/>
      </c>
      <c r="X140" s="260">
        <f>INDEX('Entrada de Dados'!U$6:U$196,MATCH($C140,'Entrada de Dados'!$A$6:$A$196,0))</f>
        <v/>
      </c>
    </row>
    <row r="141" ht="15" customHeight="1" s="163">
      <c r="A141" s="258" t="n">
        <v>4</v>
      </c>
      <c r="B141" s="258" t="n"/>
      <c r="C141" s="258" t="inlineStr">
        <is>
          <t>1111</t>
        </is>
      </c>
      <c r="D141" s="259">
        <f>HYPERLINK("#'ESCOLA MUNICIPALIZADA MOYSÉS FU'!A1","ESCOLA MUNICIPALIZADA MOYSÉS FURTADO BRAVO")</f>
        <v/>
      </c>
      <c r="E141" s="259" t="inlineStr">
        <is>
          <t>POSSE</t>
        </is>
      </c>
      <c r="F141" s="260">
        <f>INDEX('Entrada de Dados'!C$6:C$196,MATCH($C141,'Entrada de Dados'!$A$6:$A$196,0))</f>
        <v/>
      </c>
      <c r="G141" s="260">
        <f>INDEX('Entrada de Dados'!D$6:D$196,MATCH($C141,'Entrada de Dados'!$A$6:$A$196,0))</f>
        <v/>
      </c>
      <c r="H141" s="260">
        <f>INDEX('Entrada de Dados'!E$6:E$196,MATCH($C141,'Entrada de Dados'!$A$6:$A$196,0))</f>
        <v/>
      </c>
      <c r="I141" s="260">
        <f>INDEX('Entrada de Dados'!F$6:F$196,MATCH($C141,'Entrada de Dados'!$A$6:$A$196,0))</f>
        <v/>
      </c>
      <c r="J141" s="260">
        <f>INDEX('Entrada de Dados'!G$6:G$196,MATCH($C141,'Entrada de Dados'!$A$6:$A$196,0))</f>
        <v/>
      </c>
      <c r="K141" s="260">
        <f>INDEX('Entrada de Dados'!H$6:H$196,MATCH($C141,'Entrada de Dados'!$A$6:$A$196,0))</f>
        <v/>
      </c>
      <c r="L141" s="260">
        <f>INDEX('Entrada de Dados'!I$6:I$196,MATCH($C141,'Entrada de Dados'!$A$6:$A$196,0))</f>
        <v/>
      </c>
      <c r="M141" s="260">
        <f>INDEX('Entrada de Dados'!J$6:J$196,MATCH($C141,'Entrada de Dados'!$A$6:$A$196,0))</f>
        <v/>
      </c>
      <c r="N141" s="260">
        <f>INDEX('Entrada de Dados'!K$6:K$196,MATCH($C141,'Entrada de Dados'!$A$6:$A$196,0))</f>
        <v/>
      </c>
      <c r="O141" s="260">
        <f>INDEX('Entrada de Dados'!L$6:L$196,MATCH($C141,'Entrada de Dados'!$A$6:$A$196,0))</f>
        <v/>
      </c>
      <c r="P141" s="260">
        <f>INDEX('Entrada de Dados'!M$6:M$196,MATCH($C141,'Entrada de Dados'!$A$6:$A$196,0))</f>
        <v/>
      </c>
      <c r="Q141" s="260">
        <f>INDEX('Entrada de Dados'!N$6:N$196,MATCH($C141,'Entrada de Dados'!$A$6:$A$196,0))</f>
        <v/>
      </c>
      <c r="R141" s="260">
        <f>INDEX('Entrada de Dados'!O$6:O$196,MATCH($C141,'Entrada de Dados'!$A$6:$A$196,0))</f>
        <v/>
      </c>
      <c r="S141" s="260">
        <f>INDEX('Entrada de Dados'!P$6:P$196,MATCH($C141,'Entrada de Dados'!$A$6:$A$196,0))</f>
        <v/>
      </c>
      <c r="T141" s="260">
        <f>INDEX('Entrada de Dados'!Q$6:Q$196,MATCH($C141,'Entrada de Dados'!$A$6:$A$196,0))</f>
        <v/>
      </c>
      <c r="U141" s="260">
        <f>INDEX('Entrada de Dados'!R$6:R$196,MATCH($C141,'Entrada de Dados'!$A$6:$A$196,0))</f>
        <v/>
      </c>
      <c r="V141" s="260">
        <f>INDEX('Entrada de Dados'!S$6:S$196,MATCH($C141,'Entrada de Dados'!$A$6:$A$196,0))</f>
        <v/>
      </c>
      <c r="W141" s="260">
        <f>INDEX('Entrada de Dados'!T$6:T$196,MATCH($C141,'Entrada de Dados'!$A$6:$A$196,0))</f>
        <v/>
      </c>
      <c r="X141" s="260">
        <f>INDEX('Entrada de Dados'!U$6:U$196,MATCH($C141,'Entrada de Dados'!$A$6:$A$196,0))</f>
        <v/>
      </c>
    </row>
    <row r="142" ht="21.75" customHeight="1" s="163">
      <c r="A142" s="265" t="inlineStr">
        <is>
          <t>Peso previsto:</t>
        </is>
      </c>
      <c r="C142" s="266">
        <f>SUM(F138:F141)+SUM(G138:G141)+SUM(H138:H141)+SUM(I138:I141)+SUM(J138:J141)+SUM(K138:K141)+SUM(L138:L141)+SUM(M138:M141)+SUM(N138:N141)+SUM(O138:O141)+SUM(P138:P141)+SUM(Q138:Q141)+SUM(R138:R141)+SUM(S138:S141)+SUM(T138:T141)+SUM(U138:U141)+SUM(W138:W141)+SUM(X138:X141)</f>
        <v/>
      </c>
      <c r="D142" s="265" t="inlineStr">
        <is>
          <t>Peso embarcado (kg):</t>
        </is>
      </c>
      <c r="F142" s="267" t="n"/>
      <c r="G142" s="265" t="inlineStr">
        <is>
          <t>Veículo:</t>
        </is>
      </c>
      <c r="I142" s="267" t="n"/>
      <c r="J142" s="268" t="n"/>
      <c r="K142" s="265" t="inlineStr">
        <is>
          <t>Motorista:</t>
        </is>
      </c>
      <c r="M142" s="267" t="n"/>
      <c r="N142" s="269" t="n"/>
      <c r="O142" s="269" t="n"/>
      <c r="P142" s="269" t="n"/>
      <c r="Q142" s="269" t="n"/>
      <c r="R142" s="269" t="n"/>
      <c r="S142" s="269" t="n"/>
      <c r="T142" s="269" t="n"/>
      <c r="U142" s="269" t="n"/>
      <c r="V142" s="269" t="n"/>
      <c r="W142" s="269" t="n"/>
      <c r="X142" s="268" t="n"/>
    </row>
    <row r="144" ht="19.5" customHeight="1" s="163">
      <c r="A144" s="186" t="inlineStr">
        <is>
          <t>ROTA S10 — POSSE RURAL - BREJAL - JURUÁ - SILVEIRA DA MOTTA · KOMBI + ÚLTIMO TRECHO · 7 escolas · 7 paradas físicas</t>
        </is>
      </c>
    </row>
    <row r="145" ht="25.5" customHeight="1" s="163">
      <c r="A145" s="256" t="inlineStr">
        <is>
          <t>Sequência-base: Galpão Itaipava &gt; Posse &gt; ramais rurais &gt; retorno ao eixo principal &gt; Galpão   Atenção: Dividir em sub-ramais quando os pesos chegarem. Moto é recurso de último trecho, não veículo padrão da rota.</t>
        </is>
      </c>
    </row>
    <row r="146" ht="30" customHeight="1" s="163">
      <c r="A146" s="257" t="inlineStr">
        <is>
          <t>PAR.</t>
        </is>
      </c>
      <c r="B146" s="257" t="inlineStr">
        <is>
          <t>SUB</t>
        </is>
      </c>
      <c r="C146" s="257" t="inlineStr">
        <is>
          <t>CÓDIGO</t>
        </is>
      </c>
      <c r="D146" s="257" t="inlineStr">
        <is>
          <t>ESCOLA</t>
        </is>
      </c>
      <c r="E146" s="257" t="inlineStr">
        <is>
          <t>BAIRRO/CORREDOR</t>
        </is>
      </c>
      <c r="F146" s="257" t="inlineStr">
        <is>
          <t>Abacate</t>
        </is>
      </c>
      <c r="G146" s="257" t="inlineStr">
        <is>
          <t>Abobrinha</t>
        </is>
      </c>
      <c r="H146" s="257" t="inlineStr">
        <is>
          <t>Agrião</t>
        </is>
      </c>
      <c r="I146" s="257" t="inlineStr">
        <is>
          <t>Alface lisa</t>
        </is>
      </c>
      <c r="J146" s="257" t="inlineStr">
        <is>
          <t>Banana prata</t>
        </is>
      </c>
      <c r="K146" s="257" t="inlineStr">
        <is>
          <t>Batata inglesa</t>
        </is>
      </c>
      <c r="L146" s="257" t="inlineStr">
        <is>
          <t>Beterraba</t>
        </is>
      </c>
      <c r="M146" s="257" t="inlineStr">
        <is>
          <t>Brócolis</t>
        </is>
      </c>
      <c r="N146" s="257" t="inlineStr">
        <is>
          <t>Cenoura</t>
        </is>
      </c>
      <c r="O146" s="257" t="inlineStr">
        <is>
          <t>Cheiro verde</t>
        </is>
      </c>
      <c r="P146" s="257" t="inlineStr">
        <is>
          <t>Chuchu</t>
        </is>
      </c>
      <c r="Q146" s="257" t="inlineStr">
        <is>
          <t>Couve manteiga</t>
        </is>
      </c>
      <c r="R146" s="257" t="inlineStr">
        <is>
          <t>Couve-flor</t>
        </is>
      </c>
      <c r="S146" s="257" t="inlineStr">
        <is>
          <t>Espinafre</t>
        </is>
      </c>
      <c r="T146" s="257" t="inlineStr">
        <is>
          <t>Maçã gala</t>
        </is>
      </c>
      <c r="U146" s="257" t="inlineStr">
        <is>
          <t>Mel</t>
        </is>
      </c>
      <c r="V146" s="257" t="inlineStr">
        <is>
          <t>Ovos (dz)</t>
        </is>
      </c>
      <c r="W146" s="257" t="inlineStr">
        <is>
          <t>Repolho</t>
        </is>
      </c>
      <c r="X146" s="257" t="inlineStr">
        <is>
          <t>Tangerina ponkan</t>
        </is>
      </c>
    </row>
    <row r="147" ht="15" customHeight="1" s="163">
      <c r="A147" s="258" t="n">
        <v>1</v>
      </c>
      <c r="B147" s="258" t="n"/>
      <c r="C147" s="258" t="inlineStr">
        <is>
          <t>1052</t>
        </is>
      </c>
      <c r="D147" s="259">
        <f>HYPERLINK("#'E M ARNALDO DYCKERHOFF'!A1","E M ARNALDO DYCKERHOFF")</f>
        <v/>
      </c>
      <c r="E147" s="259" t="inlineStr">
        <is>
          <t>POSSE</t>
        </is>
      </c>
      <c r="F147" s="260">
        <f>INDEX('Entrada de Dados'!C$6:C$196,MATCH($C147,'Entrada de Dados'!$A$6:$A$196,0))</f>
        <v/>
      </c>
      <c r="G147" s="260">
        <f>INDEX('Entrada de Dados'!D$6:D$196,MATCH($C147,'Entrada de Dados'!$A$6:$A$196,0))</f>
        <v/>
      </c>
      <c r="H147" s="260">
        <f>INDEX('Entrada de Dados'!E$6:E$196,MATCH($C147,'Entrada de Dados'!$A$6:$A$196,0))</f>
        <v/>
      </c>
      <c r="I147" s="260">
        <f>INDEX('Entrada de Dados'!F$6:F$196,MATCH($C147,'Entrada de Dados'!$A$6:$A$196,0))</f>
        <v/>
      </c>
      <c r="J147" s="260">
        <f>INDEX('Entrada de Dados'!G$6:G$196,MATCH($C147,'Entrada de Dados'!$A$6:$A$196,0))</f>
        <v/>
      </c>
      <c r="K147" s="260">
        <f>INDEX('Entrada de Dados'!H$6:H$196,MATCH($C147,'Entrada de Dados'!$A$6:$A$196,0))</f>
        <v/>
      </c>
      <c r="L147" s="260">
        <f>INDEX('Entrada de Dados'!I$6:I$196,MATCH($C147,'Entrada de Dados'!$A$6:$A$196,0))</f>
        <v/>
      </c>
      <c r="M147" s="260">
        <f>INDEX('Entrada de Dados'!J$6:J$196,MATCH($C147,'Entrada de Dados'!$A$6:$A$196,0))</f>
        <v/>
      </c>
      <c r="N147" s="260">
        <f>INDEX('Entrada de Dados'!K$6:K$196,MATCH($C147,'Entrada de Dados'!$A$6:$A$196,0))</f>
        <v/>
      </c>
      <c r="O147" s="260">
        <f>INDEX('Entrada de Dados'!L$6:L$196,MATCH($C147,'Entrada de Dados'!$A$6:$A$196,0))</f>
        <v/>
      </c>
      <c r="P147" s="260">
        <f>INDEX('Entrada de Dados'!M$6:M$196,MATCH($C147,'Entrada de Dados'!$A$6:$A$196,0))</f>
        <v/>
      </c>
      <c r="Q147" s="260">
        <f>INDEX('Entrada de Dados'!N$6:N$196,MATCH($C147,'Entrada de Dados'!$A$6:$A$196,0))</f>
        <v/>
      </c>
      <c r="R147" s="260">
        <f>INDEX('Entrada de Dados'!O$6:O$196,MATCH($C147,'Entrada de Dados'!$A$6:$A$196,0))</f>
        <v/>
      </c>
      <c r="S147" s="260">
        <f>INDEX('Entrada de Dados'!P$6:P$196,MATCH($C147,'Entrada de Dados'!$A$6:$A$196,0))</f>
        <v/>
      </c>
      <c r="T147" s="260">
        <f>INDEX('Entrada de Dados'!Q$6:Q$196,MATCH($C147,'Entrada de Dados'!$A$6:$A$196,0))</f>
        <v/>
      </c>
      <c r="U147" s="260">
        <f>INDEX('Entrada de Dados'!R$6:R$196,MATCH($C147,'Entrada de Dados'!$A$6:$A$196,0))</f>
        <v/>
      </c>
      <c r="V147" s="260">
        <f>INDEX('Entrada de Dados'!S$6:S$196,MATCH($C147,'Entrada de Dados'!$A$6:$A$196,0))</f>
        <v/>
      </c>
      <c r="W147" s="260">
        <f>INDEX('Entrada de Dados'!T$6:T$196,MATCH($C147,'Entrada de Dados'!$A$6:$A$196,0))</f>
        <v/>
      </c>
      <c r="X147" s="260">
        <f>INDEX('Entrada de Dados'!U$6:U$196,MATCH($C147,'Entrada de Dados'!$A$6:$A$196,0))</f>
        <v/>
      </c>
    </row>
    <row r="148" ht="15" customHeight="1" s="163">
      <c r="A148" s="258" t="n">
        <v>2</v>
      </c>
      <c r="B148" s="258" t="n"/>
      <c r="C148" s="258" t="inlineStr">
        <is>
          <t>1076</t>
        </is>
      </c>
      <c r="D148" s="259">
        <f>HYPERLINK("#'E MZDA AVELINO DE CARVALHO'!A1","E MZDA AVELINO DE CARVALHO")</f>
        <v/>
      </c>
      <c r="E148" s="259" t="inlineStr">
        <is>
          <t>POSSE</t>
        </is>
      </c>
      <c r="F148" s="260">
        <f>INDEX('Entrada de Dados'!C$6:C$196,MATCH($C148,'Entrada de Dados'!$A$6:$A$196,0))</f>
        <v/>
      </c>
      <c r="G148" s="260">
        <f>INDEX('Entrada de Dados'!D$6:D$196,MATCH($C148,'Entrada de Dados'!$A$6:$A$196,0))</f>
        <v/>
      </c>
      <c r="H148" s="260">
        <f>INDEX('Entrada de Dados'!E$6:E$196,MATCH($C148,'Entrada de Dados'!$A$6:$A$196,0))</f>
        <v/>
      </c>
      <c r="I148" s="260">
        <f>INDEX('Entrada de Dados'!F$6:F$196,MATCH($C148,'Entrada de Dados'!$A$6:$A$196,0))</f>
        <v/>
      </c>
      <c r="J148" s="260">
        <f>INDEX('Entrada de Dados'!G$6:G$196,MATCH($C148,'Entrada de Dados'!$A$6:$A$196,0))</f>
        <v/>
      </c>
      <c r="K148" s="260">
        <f>INDEX('Entrada de Dados'!H$6:H$196,MATCH($C148,'Entrada de Dados'!$A$6:$A$196,0))</f>
        <v/>
      </c>
      <c r="L148" s="260">
        <f>INDEX('Entrada de Dados'!I$6:I$196,MATCH($C148,'Entrada de Dados'!$A$6:$A$196,0))</f>
        <v/>
      </c>
      <c r="M148" s="260">
        <f>INDEX('Entrada de Dados'!J$6:J$196,MATCH($C148,'Entrada de Dados'!$A$6:$A$196,0))</f>
        <v/>
      </c>
      <c r="N148" s="260">
        <f>INDEX('Entrada de Dados'!K$6:K$196,MATCH($C148,'Entrada de Dados'!$A$6:$A$196,0))</f>
        <v/>
      </c>
      <c r="O148" s="260">
        <f>INDEX('Entrada de Dados'!L$6:L$196,MATCH($C148,'Entrada de Dados'!$A$6:$A$196,0))</f>
        <v/>
      </c>
      <c r="P148" s="260">
        <f>INDEX('Entrada de Dados'!M$6:M$196,MATCH($C148,'Entrada de Dados'!$A$6:$A$196,0))</f>
        <v/>
      </c>
      <c r="Q148" s="260">
        <f>INDEX('Entrada de Dados'!N$6:N$196,MATCH($C148,'Entrada de Dados'!$A$6:$A$196,0))</f>
        <v/>
      </c>
      <c r="R148" s="260">
        <f>INDEX('Entrada de Dados'!O$6:O$196,MATCH($C148,'Entrada de Dados'!$A$6:$A$196,0))</f>
        <v/>
      </c>
      <c r="S148" s="260">
        <f>INDEX('Entrada de Dados'!P$6:P$196,MATCH($C148,'Entrada de Dados'!$A$6:$A$196,0))</f>
        <v/>
      </c>
      <c r="T148" s="260">
        <f>INDEX('Entrada de Dados'!Q$6:Q$196,MATCH($C148,'Entrada de Dados'!$A$6:$A$196,0))</f>
        <v/>
      </c>
      <c r="U148" s="260">
        <f>INDEX('Entrada de Dados'!R$6:R$196,MATCH($C148,'Entrada de Dados'!$A$6:$A$196,0))</f>
        <v/>
      </c>
      <c r="V148" s="260">
        <f>INDEX('Entrada de Dados'!S$6:S$196,MATCH($C148,'Entrada de Dados'!$A$6:$A$196,0))</f>
        <v/>
      </c>
      <c r="W148" s="260">
        <f>INDEX('Entrada de Dados'!T$6:T$196,MATCH($C148,'Entrada de Dados'!$A$6:$A$196,0))</f>
        <v/>
      </c>
      <c r="X148" s="260">
        <f>INDEX('Entrada de Dados'!U$6:U$196,MATCH($C148,'Entrada de Dados'!$A$6:$A$196,0))</f>
        <v/>
      </c>
    </row>
    <row r="149" ht="15" customHeight="1" s="163">
      <c r="A149" s="258" t="n">
        <v>3</v>
      </c>
      <c r="B149" s="258" t="n"/>
      <c r="C149" s="258" t="inlineStr">
        <is>
          <t>1073</t>
        </is>
      </c>
      <c r="D149" s="259">
        <f>HYPERLINK("#'E M OSWALDO DA COSTA FRIAS'!A1","E M OSWALDO DA COSTA FRIAS")</f>
        <v/>
      </c>
      <c r="E149" s="259" t="inlineStr">
        <is>
          <t>POSSE</t>
        </is>
      </c>
      <c r="F149" s="260">
        <f>INDEX('Entrada de Dados'!C$6:C$196,MATCH($C149,'Entrada de Dados'!$A$6:$A$196,0))</f>
        <v/>
      </c>
      <c r="G149" s="260">
        <f>INDEX('Entrada de Dados'!D$6:D$196,MATCH($C149,'Entrada de Dados'!$A$6:$A$196,0))</f>
        <v/>
      </c>
      <c r="H149" s="260">
        <f>INDEX('Entrada de Dados'!E$6:E$196,MATCH($C149,'Entrada de Dados'!$A$6:$A$196,0))</f>
        <v/>
      </c>
      <c r="I149" s="260">
        <f>INDEX('Entrada de Dados'!F$6:F$196,MATCH($C149,'Entrada de Dados'!$A$6:$A$196,0))</f>
        <v/>
      </c>
      <c r="J149" s="260">
        <f>INDEX('Entrada de Dados'!G$6:G$196,MATCH($C149,'Entrada de Dados'!$A$6:$A$196,0))</f>
        <v/>
      </c>
      <c r="K149" s="260">
        <f>INDEX('Entrada de Dados'!H$6:H$196,MATCH($C149,'Entrada de Dados'!$A$6:$A$196,0))</f>
        <v/>
      </c>
      <c r="L149" s="260">
        <f>INDEX('Entrada de Dados'!I$6:I$196,MATCH($C149,'Entrada de Dados'!$A$6:$A$196,0))</f>
        <v/>
      </c>
      <c r="M149" s="260">
        <f>INDEX('Entrada de Dados'!J$6:J$196,MATCH($C149,'Entrada de Dados'!$A$6:$A$196,0))</f>
        <v/>
      </c>
      <c r="N149" s="260">
        <f>INDEX('Entrada de Dados'!K$6:K$196,MATCH($C149,'Entrada de Dados'!$A$6:$A$196,0))</f>
        <v/>
      </c>
      <c r="O149" s="260">
        <f>INDEX('Entrada de Dados'!L$6:L$196,MATCH($C149,'Entrada de Dados'!$A$6:$A$196,0))</f>
        <v/>
      </c>
      <c r="P149" s="260">
        <f>INDEX('Entrada de Dados'!M$6:M$196,MATCH($C149,'Entrada de Dados'!$A$6:$A$196,0))</f>
        <v/>
      </c>
      <c r="Q149" s="260">
        <f>INDEX('Entrada de Dados'!N$6:N$196,MATCH($C149,'Entrada de Dados'!$A$6:$A$196,0))</f>
        <v/>
      </c>
      <c r="R149" s="260">
        <f>INDEX('Entrada de Dados'!O$6:O$196,MATCH($C149,'Entrada de Dados'!$A$6:$A$196,0))</f>
        <v/>
      </c>
      <c r="S149" s="260">
        <f>INDEX('Entrada de Dados'!P$6:P$196,MATCH($C149,'Entrada de Dados'!$A$6:$A$196,0))</f>
        <v/>
      </c>
      <c r="T149" s="260">
        <f>INDEX('Entrada de Dados'!Q$6:Q$196,MATCH($C149,'Entrada de Dados'!$A$6:$A$196,0))</f>
        <v/>
      </c>
      <c r="U149" s="260">
        <f>INDEX('Entrada de Dados'!R$6:R$196,MATCH($C149,'Entrada de Dados'!$A$6:$A$196,0))</f>
        <v/>
      </c>
      <c r="V149" s="260">
        <f>INDEX('Entrada de Dados'!S$6:S$196,MATCH($C149,'Entrada de Dados'!$A$6:$A$196,0))</f>
        <v/>
      </c>
      <c r="W149" s="260">
        <f>INDEX('Entrada de Dados'!T$6:T$196,MATCH($C149,'Entrada de Dados'!$A$6:$A$196,0))</f>
        <v/>
      </c>
      <c r="X149" s="260">
        <f>INDEX('Entrada de Dados'!U$6:U$196,MATCH($C149,'Entrada de Dados'!$A$6:$A$196,0))</f>
        <v/>
      </c>
    </row>
    <row r="150" ht="15" customHeight="1" s="163">
      <c r="A150" s="258" t="n">
        <v>4</v>
      </c>
      <c r="B150" s="258" t="n"/>
      <c r="C150" s="258" t="inlineStr">
        <is>
          <t>1068</t>
        </is>
      </c>
      <c r="D150" s="259">
        <f>HYPERLINK("#'E M ANTÔNIO JOSÉ DE LIMA'!A1","E M ANTÔNIO JOSÉ DE LIMA")</f>
        <v/>
      </c>
      <c r="E150" s="259" t="inlineStr">
        <is>
          <t>POSSE</t>
        </is>
      </c>
      <c r="F150" s="260">
        <f>INDEX('Entrada de Dados'!C$6:C$196,MATCH($C150,'Entrada de Dados'!$A$6:$A$196,0))</f>
        <v/>
      </c>
      <c r="G150" s="260">
        <f>INDEX('Entrada de Dados'!D$6:D$196,MATCH($C150,'Entrada de Dados'!$A$6:$A$196,0))</f>
        <v/>
      </c>
      <c r="H150" s="260">
        <f>INDEX('Entrada de Dados'!E$6:E$196,MATCH($C150,'Entrada de Dados'!$A$6:$A$196,0))</f>
        <v/>
      </c>
      <c r="I150" s="260">
        <f>INDEX('Entrada de Dados'!F$6:F$196,MATCH($C150,'Entrada de Dados'!$A$6:$A$196,0))</f>
        <v/>
      </c>
      <c r="J150" s="260">
        <f>INDEX('Entrada de Dados'!G$6:G$196,MATCH($C150,'Entrada de Dados'!$A$6:$A$196,0))</f>
        <v/>
      </c>
      <c r="K150" s="260">
        <f>INDEX('Entrada de Dados'!H$6:H$196,MATCH($C150,'Entrada de Dados'!$A$6:$A$196,0))</f>
        <v/>
      </c>
      <c r="L150" s="260">
        <f>INDEX('Entrada de Dados'!I$6:I$196,MATCH($C150,'Entrada de Dados'!$A$6:$A$196,0))</f>
        <v/>
      </c>
      <c r="M150" s="260">
        <f>INDEX('Entrada de Dados'!J$6:J$196,MATCH($C150,'Entrada de Dados'!$A$6:$A$196,0))</f>
        <v/>
      </c>
      <c r="N150" s="260">
        <f>INDEX('Entrada de Dados'!K$6:K$196,MATCH($C150,'Entrada de Dados'!$A$6:$A$196,0))</f>
        <v/>
      </c>
      <c r="O150" s="260">
        <f>INDEX('Entrada de Dados'!L$6:L$196,MATCH($C150,'Entrada de Dados'!$A$6:$A$196,0))</f>
        <v/>
      </c>
      <c r="P150" s="260">
        <f>INDEX('Entrada de Dados'!M$6:M$196,MATCH($C150,'Entrada de Dados'!$A$6:$A$196,0))</f>
        <v/>
      </c>
      <c r="Q150" s="260">
        <f>INDEX('Entrada de Dados'!N$6:N$196,MATCH($C150,'Entrada de Dados'!$A$6:$A$196,0))</f>
        <v/>
      </c>
      <c r="R150" s="260">
        <f>INDEX('Entrada de Dados'!O$6:O$196,MATCH($C150,'Entrada de Dados'!$A$6:$A$196,0))</f>
        <v/>
      </c>
      <c r="S150" s="260">
        <f>INDEX('Entrada de Dados'!P$6:P$196,MATCH($C150,'Entrada de Dados'!$A$6:$A$196,0))</f>
        <v/>
      </c>
      <c r="T150" s="260">
        <f>INDEX('Entrada de Dados'!Q$6:Q$196,MATCH($C150,'Entrada de Dados'!$A$6:$A$196,0))</f>
        <v/>
      </c>
      <c r="U150" s="260">
        <f>INDEX('Entrada de Dados'!R$6:R$196,MATCH($C150,'Entrada de Dados'!$A$6:$A$196,0))</f>
        <v/>
      </c>
      <c r="V150" s="260">
        <f>INDEX('Entrada de Dados'!S$6:S$196,MATCH($C150,'Entrada de Dados'!$A$6:$A$196,0))</f>
        <v/>
      </c>
      <c r="W150" s="260">
        <f>INDEX('Entrada de Dados'!T$6:T$196,MATCH($C150,'Entrada de Dados'!$A$6:$A$196,0))</f>
        <v/>
      </c>
      <c r="X150" s="260">
        <f>INDEX('Entrada de Dados'!U$6:U$196,MATCH($C150,'Entrada de Dados'!$A$6:$A$196,0))</f>
        <v/>
      </c>
    </row>
    <row r="151" ht="15" customHeight="1" s="163">
      <c r="A151" s="258" t="n">
        <v>5</v>
      </c>
      <c r="B151" s="258" t="n"/>
      <c r="C151" s="258" t="inlineStr">
        <is>
          <t>1070</t>
        </is>
      </c>
      <c r="D151" s="259">
        <f>HYPERLINK("#'ESCOLA MUNICIPAL HILDEBRANDO DE'!A1","ESCOLA MUNICIPAL HILDEBRANDO DE CARVALHO")</f>
        <v/>
      </c>
      <c r="E151" s="259" t="inlineStr">
        <is>
          <t>POSSE</t>
        </is>
      </c>
      <c r="F151" s="260">
        <f>INDEX('Entrada de Dados'!C$6:C$196,MATCH($C151,'Entrada de Dados'!$A$6:$A$196,0))</f>
        <v/>
      </c>
      <c r="G151" s="260">
        <f>INDEX('Entrada de Dados'!D$6:D$196,MATCH($C151,'Entrada de Dados'!$A$6:$A$196,0))</f>
        <v/>
      </c>
      <c r="H151" s="260">
        <f>INDEX('Entrada de Dados'!E$6:E$196,MATCH($C151,'Entrada de Dados'!$A$6:$A$196,0))</f>
        <v/>
      </c>
      <c r="I151" s="260">
        <f>INDEX('Entrada de Dados'!F$6:F$196,MATCH($C151,'Entrada de Dados'!$A$6:$A$196,0))</f>
        <v/>
      </c>
      <c r="J151" s="260">
        <f>INDEX('Entrada de Dados'!G$6:G$196,MATCH($C151,'Entrada de Dados'!$A$6:$A$196,0))</f>
        <v/>
      </c>
      <c r="K151" s="260">
        <f>INDEX('Entrada de Dados'!H$6:H$196,MATCH($C151,'Entrada de Dados'!$A$6:$A$196,0))</f>
        <v/>
      </c>
      <c r="L151" s="260">
        <f>INDEX('Entrada de Dados'!I$6:I$196,MATCH($C151,'Entrada de Dados'!$A$6:$A$196,0))</f>
        <v/>
      </c>
      <c r="M151" s="260">
        <f>INDEX('Entrada de Dados'!J$6:J$196,MATCH($C151,'Entrada de Dados'!$A$6:$A$196,0))</f>
        <v/>
      </c>
      <c r="N151" s="260">
        <f>INDEX('Entrada de Dados'!K$6:K$196,MATCH($C151,'Entrada de Dados'!$A$6:$A$196,0))</f>
        <v/>
      </c>
      <c r="O151" s="260">
        <f>INDEX('Entrada de Dados'!L$6:L$196,MATCH($C151,'Entrada de Dados'!$A$6:$A$196,0))</f>
        <v/>
      </c>
      <c r="P151" s="260">
        <f>INDEX('Entrada de Dados'!M$6:M$196,MATCH($C151,'Entrada de Dados'!$A$6:$A$196,0))</f>
        <v/>
      </c>
      <c r="Q151" s="260">
        <f>INDEX('Entrada de Dados'!N$6:N$196,MATCH($C151,'Entrada de Dados'!$A$6:$A$196,0))</f>
        <v/>
      </c>
      <c r="R151" s="260">
        <f>INDEX('Entrada de Dados'!O$6:O$196,MATCH($C151,'Entrada de Dados'!$A$6:$A$196,0))</f>
        <v/>
      </c>
      <c r="S151" s="260">
        <f>INDEX('Entrada de Dados'!P$6:P$196,MATCH($C151,'Entrada de Dados'!$A$6:$A$196,0))</f>
        <v/>
      </c>
      <c r="T151" s="260">
        <f>INDEX('Entrada de Dados'!Q$6:Q$196,MATCH($C151,'Entrada de Dados'!$A$6:$A$196,0))</f>
        <v/>
      </c>
      <c r="U151" s="260">
        <f>INDEX('Entrada de Dados'!R$6:R$196,MATCH($C151,'Entrada de Dados'!$A$6:$A$196,0))</f>
        <v/>
      </c>
      <c r="V151" s="260">
        <f>INDEX('Entrada de Dados'!S$6:S$196,MATCH($C151,'Entrada de Dados'!$A$6:$A$196,0))</f>
        <v/>
      </c>
      <c r="W151" s="260">
        <f>INDEX('Entrada de Dados'!T$6:T$196,MATCH($C151,'Entrada de Dados'!$A$6:$A$196,0))</f>
        <v/>
      </c>
      <c r="X151" s="260">
        <f>INDEX('Entrada de Dados'!U$6:U$196,MATCH($C151,'Entrada de Dados'!$A$6:$A$196,0))</f>
        <v/>
      </c>
    </row>
    <row r="152" ht="15" customHeight="1" s="163">
      <c r="A152" s="258" t="n">
        <v>6</v>
      </c>
      <c r="B152" s="258" t="n"/>
      <c r="C152" s="258" t="inlineStr">
        <is>
          <t>1069</t>
        </is>
      </c>
      <c r="D152" s="259">
        <f>HYPERLINK("#'E M FELIX WAN ERVEN DE BARROS'!A1","E M FELIX WAN ERVEN DE BARROS")</f>
        <v/>
      </c>
      <c r="E152" s="259" t="inlineStr">
        <is>
          <t>POSSE</t>
        </is>
      </c>
      <c r="F152" s="260">
        <f>INDEX('Entrada de Dados'!C$6:C$196,MATCH($C152,'Entrada de Dados'!$A$6:$A$196,0))</f>
        <v/>
      </c>
      <c r="G152" s="260">
        <f>INDEX('Entrada de Dados'!D$6:D$196,MATCH($C152,'Entrada de Dados'!$A$6:$A$196,0))</f>
        <v/>
      </c>
      <c r="H152" s="260">
        <f>INDEX('Entrada de Dados'!E$6:E$196,MATCH($C152,'Entrada de Dados'!$A$6:$A$196,0))</f>
        <v/>
      </c>
      <c r="I152" s="260">
        <f>INDEX('Entrada de Dados'!F$6:F$196,MATCH($C152,'Entrada de Dados'!$A$6:$A$196,0))</f>
        <v/>
      </c>
      <c r="J152" s="260">
        <f>INDEX('Entrada de Dados'!G$6:G$196,MATCH($C152,'Entrada de Dados'!$A$6:$A$196,0))</f>
        <v/>
      </c>
      <c r="K152" s="260">
        <f>INDEX('Entrada de Dados'!H$6:H$196,MATCH($C152,'Entrada de Dados'!$A$6:$A$196,0))</f>
        <v/>
      </c>
      <c r="L152" s="260">
        <f>INDEX('Entrada de Dados'!I$6:I$196,MATCH($C152,'Entrada de Dados'!$A$6:$A$196,0))</f>
        <v/>
      </c>
      <c r="M152" s="260">
        <f>INDEX('Entrada de Dados'!J$6:J$196,MATCH($C152,'Entrada de Dados'!$A$6:$A$196,0))</f>
        <v/>
      </c>
      <c r="N152" s="260">
        <f>INDEX('Entrada de Dados'!K$6:K$196,MATCH($C152,'Entrada de Dados'!$A$6:$A$196,0))</f>
        <v/>
      </c>
      <c r="O152" s="260">
        <f>INDEX('Entrada de Dados'!L$6:L$196,MATCH($C152,'Entrada de Dados'!$A$6:$A$196,0))</f>
        <v/>
      </c>
      <c r="P152" s="260">
        <f>INDEX('Entrada de Dados'!M$6:M$196,MATCH($C152,'Entrada de Dados'!$A$6:$A$196,0))</f>
        <v/>
      </c>
      <c r="Q152" s="260">
        <f>INDEX('Entrada de Dados'!N$6:N$196,MATCH($C152,'Entrada de Dados'!$A$6:$A$196,0))</f>
        <v/>
      </c>
      <c r="R152" s="260">
        <f>INDEX('Entrada de Dados'!O$6:O$196,MATCH($C152,'Entrada de Dados'!$A$6:$A$196,0))</f>
        <v/>
      </c>
      <c r="S152" s="260">
        <f>INDEX('Entrada de Dados'!P$6:P$196,MATCH($C152,'Entrada de Dados'!$A$6:$A$196,0))</f>
        <v/>
      </c>
      <c r="T152" s="260">
        <f>INDEX('Entrada de Dados'!Q$6:Q$196,MATCH($C152,'Entrada de Dados'!$A$6:$A$196,0))</f>
        <v/>
      </c>
      <c r="U152" s="260">
        <f>INDEX('Entrada de Dados'!R$6:R$196,MATCH($C152,'Entrada de Dados'!$A$6:$A$196,0))</f>
        <v/>
      </c>
      <c r="V152" s="260">
        <f>INDEX('Entrada de Dados'!S$6:S$196,MATCH($C152,'Entrada de Dados'!$A$6:$A$196,0))</f>
        <v/>
      </c>
      <c r="W152" s="260">
        <f>INDEX('Entrada de Dados'!T$6:T$196,MATCH($C152,'Entrada de Dados'!$A$6:$A$196,0))</f>
        <v/>
      </c>
      <c r="X152" s="260">
        <f>INDEX('Entrada de Dados'!U$6:U$196,MATCH($C152,'Entrada de Dados'!$A$6:$A$196,0))</f>
        <v/>
      </c>
    </row>
    <row r="153" ht="15" customHeight="1" s="163">
      <c r="A153" s="258" t="n">
        <v>7</v>
      </c>
      <c r="B153" s="258" t="n"/>
      <c r="C153" s="258" t="inlineStr">
        <is>
          <t>3062</t>
        </is>
      </c>
      <c r="D153" s="259">
        <f>HYPERLINK("#'CEI JOSÉ GONÇALVES DA MOTTA'!A1","CEI JOSÉ GONÇALVES DA MOTTA")</f>
        <v/>
      </c>
      <c r="E153" s="259" t="inlineStr">
        <is>
          <t>POSSE</t>
        </is>
      </c>
      <c r="F153" s="260">
        <f>INDEX('Entrada de Dados'!C$6:C$196,MATCH($C153,'Entrada de Dados'!$A$6:$A$196,0))</f>
        <v/>
      </c>
      <c r="G153" s="260">
        <f>INDEX('Entrada de Dados'!D$6:D$196,MATCH($C153,'Entrada de Dados'!$A$6:$A$196,0))</f>
        <v/>
      </c>
      <c r="H153" s="260">
        <f>INDEX('Entrada de Dados'!E$6:E$196,MATCH($C153,'Entrada de Dados'!$A$6:$A$196,0))</f>
        <v/>
      </c>
      <c r="I153" s="260">
        <f>INDEX('Entrada de Dados'!F$6:F$196,MATCH($C153,'Entrada de Dados'!$A$6:$A$196,0))</f>
        <v/>
      </c>
      <c r="J153" s="260">
        <f>INDEX('Entrada de Dados'!G$6:G$196,MATCH($C153,'Entrada de Dados'!$A$6:$A$196,0))</f>
        <v/>
      </c>
      <c r="K153" s="260">
        <f>INDEX('Entrada de Dados'!H$6:H$196,MATCH($C153,'Entrada de Dados'!$A$6:$A$196,0))</f>
        <v/>
      </c>
      <c r="L153" s="260">
        <f>INDEX('Entrada de Dados'!I$6:I$196,MATCH($C153,'Entrada de Dados'!$A$6:$A$196,0))</f>
        <v/>
      </c>
      <c r="M153" s="260">
        <f>INDEX('Entrada de Dados'!J$6:J$196,MATCH($C153,'Entrada de Dados'!$A$6:$A$196,0))</f>
        <v/>
      </c>
      <c r="N153" s="260">
        <f>INDEX('Entrada de Dados'!K$6:K$196,MATCH($C153,'Entrada de Dados'!$A$6:$A$196,0))</f>
        <v/>
      </c>
      <c r="O153" s="260">
        <f>INDEX('Entrada de Dados'!L$6:L$196,MATCH($C153,'Entrada de Dados'!$A$6:$A$196,0))</f>
        <v/>
      </c>
      <c r="P153" s="260">
        <f>INDEX('Entrada de Dados'!M$6:M$196,MATCH($C153,'Entrada de Dados'!$A$6:$A$196,0))</f>
        <v/>
      </c>
      <c r="Q153" s="260">
        <f>INDEX('Entrada de Dados'!N$6:N$196,MATCH($C153,'Entrada de Dados'!$A$6:$A$196,0))</f>
        <v/>
      </c>
      <c r="R153" s="260">
        <f>INDEX('Entrada de Dados'!O$6:O$196,MATCH($C153,'Entrada de Dados'!$A$6:$A$196,0))</f>
        <v/>
      </c>
      <c r="S153" s="260">
        <f>INDEX('Entrada de Dados'!P$6:P$196,MATCH($C153,'Entrada de Dados'!$A$6:$A$196,0))</f>
        <v/>
      </c>
      <c r="T153" s="260">
        <f>INDEX('Entrada de Dados'!Q$6:Q$196,MATCH($C153,'Entrada de Dados'!$A$6:$A$196,0))</f>
        <v/>
      </c>
      <c r="U153" s="260">
        <f>INDEX('Entrada de Dados'!R$6:R$196,MATCH($C153,'Entrada de Dados'!$A$6:$A$196,0))</f>
        <v/>
      </c>
      <c r="V153" s="260">
        <f>INDEX('Entrada de Dados'!S$6:S$196,MATCH($C153,'Entrada de Dados'!$A$6:$A$196,0))</f>
        <v/>
      </c>
      <c r="W153" s="260">
        <f>INDEX('Entrada de Dados'!T$6:T$196,MATCH($C153,'Entrada de Dados'!$A$6:$A$196,0))</f>
        <v/>
      </c>
      <c r="X153" s="260">
        <f>INDEX('Entrada de Dados'!U$6:U$196,MATCH($C153,'Entrada de Dados'!$A$6:$A$196,0))</f>
        <v/>
      </c>
    </row>
    <row r="154" ht="21.75" customHeight="1" s="163">
      <c r="A154" s="265" t="inlineStr">
        <is>
          <t>Peso previsto:</t>
        </is>
      </c>
      <c r="C154" s="266">
        <f>SUM(F147:F153)+SUM(G147:G153)+SUM(H147:H153)+SUM(I147:I153)+SUM(J147:J153)+SUM(K147:K153)+SUM(L147:L153)+SUM(M147:M153)+SUM(N147:N153)+SUM(O147:O153)+SUM(P147:P153)+SUM(Q147:Q153)+SUM(R147:R153)+SUM(S147:S153)+SUM(T147:T153)+SUM(U147:U153)+SUM(W147:W153)+SUM(X147:X153)</f>
        <v/>
      </c>
      <c r="D154" s="265" t="inlineStr">
        <is>
          <t>Peso embarcado (kg):</t>
        </is>
      </c>
      <c r="F154" s="267" t="n"/>
      <c r="G154" s="265" t="inlineStr">
        <is>
          <t>Veículo:</t>
        </is>
      </c>
      <c r="I154" s="267" t="n"/>
      <c r="J154" s="268" t="n"/>
      <c r="K154" s="265" t="inlineStr">
        <is>
          <t>Motorista:</t>
        </is>
      </c>
      <c r="M154" s="267" t="n"/>
      <c r="N154" s="269" t="n"/>
      <c r="O154" s="269" t="n"/>
      <c r="P154" s="269" t="n"/>
      <c r="Q154" s="269" t="n"/>
      <c r="R154" s="269" t="n"/>
      <c r="S154" s="269" t="n"/>
      <c r="T154" s="269" t="n"/>
      <c r="U154" s="269" t="n"/>
      <c r="V154" s="269" t="n"/>
      <c r="W154" s="269" t="n"/>
      <c r="X154" s="268" t="n"/>
    </row>
    <row r="156" ht="24" customHeight="1" s="163">
      <c r="A156" s="255" t="inlineStr">
        <is>
          <t>TERÇA-FEIRA</t>
        </is>
      </c>
    </row>
    <row r="157" ht="19.5" customHeight="1" s="163">
      <c r="A157" s="186" t="inlineStr">
        <is>
          <t>ROTA T1 — ROCIO - SANTA ROSA - RIO DA CIDADE - BELA VISTA - CONTORNO · KOMBI · 5 escolas · 5 paradas físicas</t>
        </is>
      </c>
    </row>
    <row r="158" ht="25.5" customHeight="1" s="163">
      <c r="A158" s="256" t="inlineStr">
        <is>
          <t>Sequência-base: Galpão Itaipava &gt; Rocio &gt; Santa Rosa &gt; Rio da Cidade &gt; Bela Vista &gt; Contorno &gt; Galpão   Atenção: Bloco de acessos dispersos. Confirmar sentido das vias e restrições da BR-040 antes da operação.</t>
        </is>
      </c>
    </row>
    <row r="159" ht="30" customHeight="1" s="163">
      <c r="A159" s="257" t="inlineStr">
        <is>
          <t>PAR.</t>
        </is>
      </c>
      <c r="B159" s="257" t="inlineStr">
        <is>
          <t>SUB</t>
        </is>
      </c>
      <c r="C159" s="257" t="inlineStr">
        <is>
          <t>CÓDIGO</t>
        </is>
      </c>
      <c r="D159" s="257" t="inlineStr">
        <is>
          <t>ESCOLA</t>
        </is>
      </c>
      <c r="E159" s="257" t="inlineStr">
        <is>
          <t>BAIRRO/CORREDOR</t>
        </is>
      </c>
      <c r="F159" s="257" t="inlineStr">
        <is>
          <t>Abacate</t>
        </is>
      </c>
      <c r="G159" s="257" t="inlineStr">
        <is>
          <t>Abobrinha</t>
        </is>
      </c>
      <c r="H159" s="257" t="inlineStr">
        <is>
          <t>Agrião</t>
        </is>
      </c>
      <c r="I159" s="257" t="inlineStr">
        <is>
          <t>Alface lisa</t>
        </is>
      </c>
      <c r="J159" s="257" t="inlineStr">
        <is>
          <t>Banana prata</t>
        </is>
      </c>
      <c r="K159" s="257" t="inlineStr">
        <is>
          <t>Batata inglesa</t>
        </is>
      </c>
      <c r="L159" s="257" t="inlineStr">
        <is>
          <t>Beterraba</t>
        </is>
      </c>
      <c r="M159" s="257" t="inlineStr">
        <is>
          <t>Brócolis</t>
        </is>
      </c>
      <c r="N159" s="257" t="inlineStr">
        <is>
          <t>Cenoura</t>
        </is>
      </c>
      <c r="O159" s="257" t="inlineStr">
        <is>
          <t>Cheiro verde</t>
        </is>
      </c>
      <c r="P159" s="257" t="inlineStr">
        <is>
          <t>Chuchu</t>
        </is>
      </c>
      <c r="Q159" s="257" t="inlineStr">
        <is>
          <t>Couve manteiga</t>
        </is>
      </c>
      <c r="R159" s="257" t="inlineStr">
        <is>
          <t>Couve-flor</t>
        </is>
      </c>
      <c r="S159" s="257" t="inlineStr">
        <is>
          <t>Espinafre</t>
        </is>
      </c>
      <c r="T159" s="257" t="inlineStr">
        <is>
          <t>Maçã gala</t>
        </is>
      </c>
      <c r="U159" s="257" t="inlineStr">
        <is>
          <t>Mel</t>
        </is>
      </c>
      <c r="V159" s="257" t="inlineStr">
        <is>
          <t>Ovos (dz)</t>
        </is>
      </c>
      <c r="W159" s="257" t="inlineStr">
        <is>
          <t>Repolho</t>
        </is>
      </c>
      <c r="X159" s="257" t="inlineStr">
        <is>
          <t>Tangerina ponkan</t>
        </is>
      </c>
    </row>
    <row r="160" ht="15" customHeight="1" s="163">
      <c r="A160" s="258" t="n">
        <v>1</v>
      </c>
      <c r="B160" s="258" t="n"/>
      <c r="C160" s="258" t="inlineStr">
        <is>
          <t>1090</t>
        </is>
      </c>
      <c r="D160" s="259">
        <f>HYPERLINK("#'E M SEBASTIÃO LACERDA'!A1","E M SEBASTIÃO LACERDA")</f>
        <v/>
      </c>
      <c r="E160" s="259" t="inlineStr">
        <is>
          <t>ROCIO</t>
        </is>
      </c>
      <c r="F160" s="260">
        <f>INDEX('Entrada de Dados'!C$6:C$196,MATCH($C160,'Entrada de Dados'!$A$6:$A$196,0))</f>
        <v/>
      </c>
      <c r="G160" s="260">
        <f>INDEX('Entrada de Dados'!D$6:D$196,MATCH($C160,'Entrada de Dados'!$A$6:$A$196,0))</f>
        <v/>
      </c>
      <c r="H160" s="260">
        <f>INDEX('Entrada de Dados'!E$6:E$196,MATCH($C160,'Entrada de Dados'!$A$6:$A$196,0))</f>
        <v/>
      </c>
      <c r="I160" s="260">
        <f>INDEX('Entrada de Dados'!F$6:F$196,MATCH($C160,'Entrada de Dados'!$A$6:$A$196,0))</f>
        <v/>
      </c>
      <c r="J160" s="260">
        <f>INDEX('Entrada de Dados'!G$6:G$196,MATCH($C160,'Entrada de Dados'!$A$6:$A$196,0))</f>
        <v/>
      </c>
      <c r="K160" s="260">
        <f>INDEX('Entrada de Dados'!H$6:H$196,MATCH($C160,'Entrada de Dados'!$A$6:$A$196,0))</f>
        <v/>
      </c>
      <c r="L160" s="260">
        <f>INDEX('Entrada de Dados'!I$6:I$196,MATCH($C160,'Entrada de Dados'!$A$6:$A$196,0))</f>
        <v/>
      </c>
      <c r="M160" s="260">
        <f>INDEX('Entrada de Dados'!J$6:J$196,MATCH($C160,'Entrada de Dados'!$A$6:$A$196,0))</f>
        <v/>
      </c>
      <c r="N160" s="260">
        <f>INDEX('Entrada de Dados'!K$6:K$196,MATCH($C160,'Entrada de Dados'!$A$6:$A$196,0))</f>
        <v/>
      </c>
      <c r="O160" s="260">
        <f>INDEX('Entrada de Dados'!L$6:L$196,MATCH($C160,'Entrada de Dados'!$A$6:$A$196,0))</f>
        <v/>
      </c>
      <c r="P160" s="260">
        <f>INDEX('Entrada de Dados'!M$6:M$196,MATCH($C160,'Entrada de Dados'!$A$6:$A$196,0))</f>
        <v/>
      </c>
      <c r="Q160" s="260">
        <f>INDEX('Entrada de Dados'!N$6:N$196,MATCH($C160,'Entrada de Dados'!$A$6:$A$196,0))</f>
        <v/>
      </c>
      <c r="R160" s="260">
        <f>INDEX('Entrada de Dados'!O$6:O$196,MATCH($C160,'Entrada de Dados'!$A$6:$A$196,0))</f>
        <v/>
      </c>
      <c r="S160" s="260">
        <f>INDEX('Entrada de Dados'!P$6:P$196,MATCH($C160,'Entrada de Dados'!$A$6:$A$196,0))</f>
        <v/>
      </c>
      <c r="T160" s="260">
        <f>INDEX('Entrada de Dados'!Q$6:Q$196,MATCH($C160,'Entrada de Dados'!$A$6:$A$196,0))</f>
        <v/>
      </c>
      <c r="U160" s="260">
        <f>INDEX('Entrada de Dados'!R$6:R$196,MATCH($C160,'Entrada de Dados'!$A$6:$A$196,0))</f>
        <v/>
      </c>
      <c r="V160" s="260">
        <f>INDEX('Entrada de Dados'!S$6:S$196,MATCH($C160,'Entrada de Dados'!$A$6:$A$196,0))</f>
        <v/>
      </c>
      <c r="W160" s="260">
        <f>INDEX('Entrada de Dados'!T$6:T$196,MATCH($C160,'Entrada de Dados'!$A$6:$A$196,0))</f>
        <v/>
      </c>
      <c r="X160" s="260">
        <f>INDEX('Entrada de Dados'!U$6:U$196,MATCH($C160,'Entrada de Dados'!$A$6:$A$196,0))</f>
        <v/>
      </c>
    </row>
    <row r="161" ht="15" customHeight="1" s="163">
      <c r="A161" s="258" t="n">
        <v>2</v>
      </c>
      <c r="B161" s="258" t="n"/>
      <c r="C161" s="258" t="inlineStr">
        <is>
          <t>1006</t>
        </is>
      </c>
      <c r="D161" s="259">
        <f>HYPERLINK("#'E M DOM PEDRO DE ALCÂNTARA'!A1","E M DOM PEDRO DE ALCÂNTARA")</f>
        <v/>
      </c>
      <c r="E161" s="259" t="inlineStr">
        <is>
          <t>SANTA ROSA DE LIMA</t>
        </is>
      </c>
      <c r="F161" s="260">
        <f>INDEX('Entrada de Dados'!C$6:C$196,MATCH($C161,'Entrada de Dados'!$A$6:$A$196,0))</f>
        <v/>
      </c>
      <c r="G161" s="260">
        <f>INDEX('Entrada de Dados'!D$6:D$196,MATCH($C161,'Entrada de Dados'!$A$6:$A$196,0))</f>
        <v/>
      </c>
      <c r="H161" s="260">
        <f>INDEX('Entrada de Dados'!E$6:E$196,MATCH($C161,'Entrada de Dados'!$A$6:$A$196,0))</f>
        <v/>
      </c>
      <c r="I161" s="260">
        <f>INDEX('Entrada de Dados'!F$6:F$196,MATCH($C161,'Entrada de Dados'!$A$6:$A$196,0))</f>
        <v/>
      </c>
      <c r="J161" s="260">
        <f>INDEX('Entrada de Dados'!G$6:G$196,MATCH($C161,'Entrada de Dados'!$A$6:$A$196,0))</f>
        <v/>
      </c>
      <c r="K161" s="260">
        <f>INDEX('Entrada de Dados'!H$6:H$196,MATCH($C161,'Entrada de Dados'!$A$6:$A$196,0))</f>
        <v/>
      </c>
      <c r="L161" s="260">
        <f>INDEX('Entrada de Dados'!I$6:I$196,MATCH($C161,'Entrada de Dados'!$A$6:$A$196,0))</f>
        <v/>
      </c>
      <c r="M161" s="260">
        <f>INDEX('Entrada de Dados'!J$6:J$196,MATCH($C161,'Entrada de Dados'!$A$6:$A$196,0))</f>
        <v/>
      </c>
      <c r="N161" s="260">
        <f>INDEX('Entrada de Dados'!K$6:K$196,MATCH($C161,'Entrada de Dados'!$A$6:$A$196,0))</f>
        <v/>
      </c>
      <c r="O161" s="260">
        <f>INDEX('Entrada de Dados'!L$6:L$196,MATCH($C161,'Entrada de Dados'!$A$6:$A$196,0))</f>
        <v/>
      </c>
      <c r="P161" s="260">
        <f>INDEX('Entrada de Dados'!M$6:M$196,MATCH($C161,'Entrada de Dados'!$A$6:$A$196,0))</f>
        <v/>
      </c>
      <c r="Q161" s="260">
        <f>INDEX('Entrada de Dados'!N$6:N$196,MATCH($C161,'Entrada de Dados'!$A$6:$A$196,0))</f>
        <v/>
      </c>
      <c r="R161" s="260">
        <f>INDEX('Entrada de Dados'!O$6:O$196,MATCH($C161,'Entrada de Dados'!$A$6:$A$196,0))</f>
        <v/>
      </c>
      <c r="S161" s="260">
        <f>INDEX('Entrada de Dados'!P$6:P$196,MATCH($C161,'Entrada de Dados'!$A$6:$A$196,0))</f>
        <v/>
      </c>
      <c r="T161" s="260">
        <f>INDEX('Entrada de Dados'!Q$6:Q$196,MATCH($C161,'Entrada de Dados'!$A$6:$A$196,0))</f>
        <v/>
      </c>
      <c r="U161" s="260">
        <f>INDEX('Entrada de Dados'!R$6:R$196,MATCH($C161,'Entrada de Dados'!$A$6:$A$196,0))</f>
        <v/>
      </c>
      <c r="V161" s="260">
        <f>INDEX('Entrada de Dados'!S$6:S$196,MATCH($C161,'Entrada de Dados'!$A$6:$A$196,0))</f>
        <v/>
      </c>
      <c r="W161" s="260">
        <f>INDEX('Entrada de Dados'!T$6:T$196,MATCH($C161,'Entrada de Dados'!$A$6:$A$196,0))</f>
        <v/>
      </c>
      <c r="X161" s="260">
        <f>INDEX('Entrada de Dados'!U$6:U$196,MATCH($C161,'Entrada de Dados'!$A$6:$A$196,0))</f>
        <v/>
      </c>
    </row>
    <row r="162" ht="15" customHeight="1" s="163">
      <c r="A162" s="258" t="n">
        <v>3</v>
      </c>
      <c r="B162" s="258" t="n"/>
      <c r="C162" s="258" t="inlineStr">
        <is>
          <t>2036</t>
        </is>
      </c>
      <c r="D162" s="259">
        <f>HYPERLINK("#'ESCOLA NOSSA SENHORA DE FÁTIMA'!A1","ESCOLA NOSSA SENHORA DE FÁTIMA")</f>
        <v/>
      </c>
      <c r="E162" s="259" t="inlineStr">
        <is>
          <t>RIO DA CIDADE</t>
        </is>
      </c>
      <c r="F162" s="260">
        <f>INDEX('Entrada de Dados'!C$6:C$196,MATCH($C162,'Entrada de Dados'!$A$6:$A$196,0))</f>
        <v/>
      </c>
      <c r="G162" s="260">
        <f>INDEX('Entrada de Dados'!D$6:D$196,MATCH($C162,'Entrada de Dados'!$A$6:$A$196,0))</f>
        <v/>
      </c>
      <c r="H162" s="260">
        <f>INDEX('Entrada de Dados'!E$6:E$196,MATCH($C162,'Entrada de Dados'!$A$6:$A$196,0))</f>
        <v/>
      </c>
      <c r="I162" s="260">
        <f>INDEX('Entrada de Dados'!F$6:F$196,MATCH($C162,'Entrada de Dados'!$A$6:$A$196,0))</f>
        <v/>
      </c>
      <c r="J162" s="260">
        <f>INDEX('Entrada de Dados'!G$6:G$196,MATCH($C162,'Entrada de Dados'!$A$6:$A$196,0))</f>
        <v/>
      </c>
      <c r="K162" s="260">
        <f>INDEX('Entrada de Dados'!H$6:H$196,MATCH($C162,'Entrada de Dados'!$A$6:$A$196,0))</f>
        <v/>
      </c>
      <c r="L162" s="260">
        <f>INDEX('Entrada de Dados'!I$6:I$196,MATCH($C162,'Entrada de Dados'!$A$6:$A$196,0))</f>
        <v/>
      </c>
      <c r="M162" s="260">
        <f>INDEX('Entrada de Dados'!J$6:J$196,MATCH($C162,'Entrada de Dados'!$A$6:$A$196,0))</f>
        <v/>
      </c>
      <c r="N162" s="260">
        <f>INDEX('Entrada de Dados'!K$6:K$196,MATCH($C162,'Entrada de Dados'!$A$6:$A$196,0))</f>
        <v/>
      </c>
      <c r="O162" s="260">
        <f>INDEX('Entrada de Dados'!L$6:L$196,MATCH($C162,'Entrada de Dados'!$A$6:$A$196,0))</f>
        <v/>
      </c>
      <c r="P162" s="260">
        <f>INDEX('Entrada de Dados'!M$6:M$196,MATCH($C162,'Entrada de Dados'!$A$6:$A$196,0))</f>
        <v/>
      </c>
      <c r="Q162" s="260">
        <f>INDEX('Entrada de Dados'!N$6:N$196,MATCH($C162,'Entrada de Dados'!$A$6:$A$196,0))</f>
        <v/>
      </c>
      <c r="R162" s="260">
        <f>INDEX('Entrada de Dados'!O$6:O$196,MATCH($C162,'Entrada de Dados'!$A$6:$A$196,0))</f>
        <v/>
      </c>
      <c r="S162" s="260">
        <f>INDEX('Entrada de Dados'!P$6:P$196,MATCH($C162,'Entrada de Dados'!$A$6:$A$196,0))</f>
        <v/>
      </c>
      <c r="T162" s="260">
        <f>INDEX('Entrada de Dados'!Q$6:Q$196,MATCH($C162,'Entrada de Dados'!$A$6:$A$196,0))</f>
        <v/>
      </c>
      <c r="U162" s="260">
        <f>INDEX('Entrada de Dados'!R$6:R$196,MATCH($C162,'Entrada de Dados'!$A$6:$A$196,0))</f>
        <v/>
      </c>
      <c r="V162" s="260">
        <f>INDEX('Entrada de Dados'!S$6:S$196,MATCH($C162,'Entrada de Dados'!$A$6:$A$196,0))</f>
        <v/>
      </c>
      <c r="W162" s="260">
        <f>INDEX('Entrada de Dados'!T$6:T$196,MATCH($C162,'Entrada de Dados'!$A$6:$A$196,0))</f>
        <v/>
      </c>
      <c r="X162" s="260">
        <f>INDEX('Entrada de Dados'!U$6:U$196,MATCH($C162,'Entrada de Dados'!$A$6:$A$196,0))</f>
        <v/>
      </c>
    </row>
    <row r="163" ht="15" customHeight="1" s="163">
      <c r="A163" s="258" t="n">
        <v>4</v>
      </c>
      <c r="B163" s="258" t="n"/>
      <c r="C163" s="258" t="inlineStr">
        <is>
          <t>2026</t>
        </is>
      </c>
      <c r="D163" s="259">
        <f>HYPERLINK("#'ESCOLA PAROQUIAL SÃO FRANCISCO '!A1","ESCOLA PAROQUIAL SÃO FRANCISCO DE ASSIS - BV")</f>
        <v/>
      </c>
      <c r="E163" s="259" t="inlineStr">
        <is>
          <t>BELA VISTA</t>
        </is>
      </c>
      <c r="F163" s="260">
        <f>INDEX('Entrada de Dados'!C$6:C$196,MATCH($C163,'Entrada de Dados'!$A$6:$A$196,0))</f>
        <v/>
      </c>
      <c r="G163" s="260">
        <f>INDEX('Entrada de Dados'!D$6:D$196,MATCH($C163,'Entrada de Dados'!$A$6:$A$196,0))</f>
        <v/>
      </c>
      <c r="H163" s="260">
        <f>INDEX('Entrada de Dados'!E$6:E$196,MATCH($C163,'Entrada de Dados'!$A$6:$A$196,0))</f>
        <v/>
      </c>
      <c r="I163" s="260">
        <f>INDEX('Entrada de Dados'!F$6:F$196,MATCH($C163,'Entrada de Dados'!$A$6:$A$196,0))</f>
        <v/>
      </c>
      <c r="J163" s="260">
        <f>INDEX('Entrada de Dados'!G$6:G$196,MATCH($C163,'Entrada de Dados'!$A$6:$A$196,0))</f>
        <v/>
      </c>
      <c r="K163" s="260">
        <f>INDEX('Entrada de Dados'!H$6:H$196,MATCH($C163,'Entrada de Dados'!$A$6:$A$196,0))</f>
        <v/>
      </c>
      <c r="L163" s="260">
        <f>INDEX('Entrada de Dados'!I$6:I$196,MATCH($C163,'Entrada de Dados'!$A$6:$A$196,0))</f>
        <v/>
      </c>
      <c r="M163" s="260">
        <f>INDEX('Entrada de Dados'!J$6:J$196,MATCH($C163,'Entrada de Dados'!$A$6:$A$196,0))</f>
        <v/>
      </c>
      <c r="N163" s="260">
        <f>INDEX('Entrada de Dados'!K$6:K$196,MATCH($C163,'Entrada de Dados'!$A$6:$A$196,0))</f>
        <v/>
      </c>
      <c r="O163" s="260">
        <f>INDEX('Entrada de Dados'!L$6:L$196,MATCH($C163,'Entrada de Dados'!$A$6:$A$196,0))</f>
        <v/>
      </c>
      <c r="P163" s="260">
        <f>INDEX('Entrada de Dados'!M$6:M$196,MATCH($C163,'Entrada de Dados'!$A$6:$A$196,0))</f>
        <v/>
      </c>
      <c r="Q163" s="260">
        <f>INDEX('Entrada de Dados'!N$6:N$196,MATCH($C163,'Entrada de Dados'!$A$6:$A$196,0))</f>
        <v/>
      </c>
      <c r="R163" s="260">
        <f>INDEX('Entrada de Dados'!O$6:O$196,MATCH($C163,'Entrada de Dados'!$A$6:$A$196,0))</f>
        <v/>
      </c>
      <c r="S163" s="260">
        <f>INDEX('Entrada de Dados'!P$6:P$196,MATCH($C163,'Entrada de Dados'!$A$6:$A$196,0))</f>
        <v/>
      </c>
      <c r="T163" s="260">
        <f>INDEX('Entrada de Dados'!Q$6:Q$196,MATCH($C163,'Entrada de Dados'!$A$6:$A$196,0))</f>
        <v/>
      </c>
      <c r="U163" s="260">
        <f>INDEX('Entrada de Dados'!R$6:R$196,MATCH($C163,'Entrada de Dados'!$A$6:$A$196,0))</f>
        <v/>
      </c>
      <c r="V163" s="260">
        <f>INDEX('Entrada de Dados'!S$6:S$196,MATCH($C163,'Entrada de Dados'!$A$6:$A$196,0))</f>
        <v/>
      </c>
      <c r="W163" s="260">
        <f>INDEX('Entrada de Dados'!T$6:T$196,MATCH($C163,'Entrada de Dados'!$A$6:$A$196,0))</f>
        <v/>
      </c>
      <c r="X163" s="260">
        <f>INDEX('Entrada de Dados'!U$6:U$196,MATCH($C163,'Entrada de Dados'!$A$6:$A$196,0))</f>
        <v/>
      </c>
    </row>
    <row r="164" ht="15" customHeight="1" s="163">
      <c r="A164" s="258" t="n">
        <v>5</v>
      </c>
      <c r="B164" s="258" t="n"/>
      <c r="C164" s="258" t="inlineStr">
        <is>
          <t>3026</t>
        </is>
      </c>
      <c r="D164" s="259">
        <f>HYPERLINK("#'CEI ALDEIA DA CRIANCA'!A1","CEI ALDEIA DA CRIANCA")</f>
        <v/>
      </c>
      <c r="E164" s="259" t="inlineStr">
        <is>
          <t>CONTORNO</t>
        </is>
      </c>
      <c r="F164" s="260">
        <f>INDEX('Entrada de Dados'!C$6:C$196,MATCH($C164,'Entrada de Dados'!$A$6:$A$196,0))</f>
        <v/>
      </c>
      <c r="G164" s="260">
        <f>INDEX('Entrada de Dados'!D$6:D$196,MATCH($C164,'Entrada de Dados'!$A$6:$A$196,0))</f>
        <v/>
      </c>
      <c r="H164" s="260">
        <f>INDEX('Entrada de Dados'!E$6:E$196,MATCH($C164,'Entrada de Dados'!$A$6:$A$196,0))</f>
        <v/>
      </c>
      <c r="I164" s="260">
        <f>INDEX('Entrada de Dados'!F$6:F$196,MATCH($C164,'Entrada de Dados'!$A$6:$A$196,0))</f>
        <v/>
      </c>
      <c r="J164" s="260">
        <f>INDEX('Entrada de Dados'!G$6:G$196,MATCH($C164,'Entrada de Dados'!$A$6:$A$196,0))</f>
        <v/>
      </c>
      <c r="K164" s="260">
        <f>INDEX('Entrada de Dados'!H$6:H$196,MATCH($C164,'Entrada de Dados'!$A$6:$A$196,0))</f>
        <v/>
      </c>
      <c r="L164" s="260">
        <f>INDEX('Entrada de Dados'!I$6:I$196,MATCH($C164,'Entrada de Dados'!$A$6:$A$196,0))</f>
        <v/>
      </c>
      <c r="M164" s="260">
        <f>INDEX('Entrada de Dados'!J$6:J$196,MATCH($C164,'Entrada de Dados'!$A$6:$A$196,0))</f>
        <v/>
      </c>
      <c r="N164" s="260">
        <f>INDEX('Entrada de Dados'!K$6:K$196,MATCH($C164,'Entrada de Dados'!$A$6:$A$196,0))</f>
        <v/>
      </c>
      <c r="O164" s="260">
        <f>INDEX('Entrada de Dados'!L$6:L$196,MATCH($C164,'Entrada de Dados'!$A$6:$A$196,0))</f>
        <v/>
      </c>
      <c r="P164" s="260">
        <f>INDEX('Entrada de Dados'!M$6:M$196,MATCH($C164,'Entrada de Dados'!$A$6:$A$196,0))</f>
        <v/>
      </c>
      <c r="Q164" s="260">
        <f>INDEX('Entrada de Dados'!N$6:N$196,MATCH($C164,'Entrada de Dados'!$A$6:$A$196,0))</f>
        <v/>
      </c>
      <c r="R164" s="260">
        <f>INDEX('Entrada de Dados'!O$6:O$196,MATCH($C164,'Entrada de Dados'!$A$6:$A$196,0))</f>
        <v/>
      </c>
      <c r="S164" s="260">
        <f>INDEX('Entrada de Dados'!P$6:P$196,MATCH($C164,'Entrada de Dados'!$A$6:$A$196,0))</f>
        <v/>
      </c>
      <c r="T164" s="260">
        <f>INDEX('Entrada de Dados'!Q$6:Q$196,MATCH($C164,'Entrada de Dados'!$A$6:$A$196,0))</f>
        <v/>
      </c>
      <c r="U164" s="260">
        <f>INDEX('Entrada de Dados'!R$6:R$196,MATCH($C164,'Entrada de Dados'!$A$6:$A$196,0))</f>
        <v/>
      </c>
      <c r="V164" s="260">
        <f>INDEX('Entrada de Dados'!S$6:S$196,MATCH($C164,'Entrada de Dados'!$A$6:$A$196,0))</f>
        <v/>
      </c>
      <c r="W164" s="260">
        <f>INDEX('Entrada de Dados'!T$6:T$196,MATCH($C164,'Entrada de Dados'!$A$6:$A$196,0))</f>
        <v/>
      </c>
      <c r="X164" s="260">
        <f>INDEX('Entrada de Dados'!U$6:U$196,MATCH($C164,'Entrada de Dados'!$A$6:$A$196,0))</f>
        <v/>
      </c>
    </row>
    <row r="165" ht="21.75" customHeight="1" s="163">
      <c r="A165" s="265" t="inlineStr">
        <is>
          <t>Peso previsto:</t>
        </is>
      </c>
      <c r="C165" s="266">
        <f>SUM(F160:F164)+SUM(G160:G164)+SUM(H160:H164)+SUM(I160:I164)+SUM(J160:J164)+SUM(K160:K164)+SUM(L160:L164)+SUM(M160:M164)+SUM(N160:N164)+SUM(O160:O164)+SUM(P160:P164)+SUM(Q160:Q164)+SUM(R160:R164)+SUM(S160:S164)+SUM(T160:T164)+SUM(U160:U164)+SUM(W160:W164)+SUM(X160:X164)</f>
        <v/>
      </c>
      <c r="D165" s="265" t="inlineStr">
        <is>
          <t>Peso embarcado (kg):</t>
        </is>
      </c>
      <c r="F165" s="267" t="n"/>
      <c r="G165" s="265" t="inlineStr">
        <is>
          <t>Veículo:</t>
        </is>
      </c>
      <c r="I165" s="267" t="n"/>
      <c r="J165" s="268" t="n"/>
      <c r="K165" s="265" t="inlineStr">
        <is>
          <t>Motorista:</t>
        </is>
      </c>
      <c r="M165" s="267" t="n"/>
      <c r="N165" s="269" t="n"/>
      <c r="O165" s="269" t="n"/>
      <c r="P165" s="269" t="n"/>
      <c r="Q165" s="269" t="n"/>
      <c r="R165" s="269" t="n"/>
      <c r="S165" s="269" t="n"/>
      <c r="T165" s="269" t="n"/>
      <c r="U165" s="269" t="n"/>
      <c r="V165" s="269" t="n"/>
      <c r="W165" s="269" t="n"/>
      <c r="X165" s="268" t="n"/>
    </row>
    <row r="167" ht="19.5" customHeight="1" s="163">
      <c r="A167" s="186" t="inlineStr">
        <is>
          <t>ROTA T2 — INGELHEIM - FAZENDA INGLESA - MOINHO PRETO - DUARTE · KOMBI · 7 escolas · 7 paradas físicas</t>
        </is>
      </c>
    </row>
    <row r="168" ht="25.5" customHeight="1" s="163">
      <c r="A168" s="256" t="inlineStr">
        <is>
          <t>Sequência-base: Galpão Itaipava &gt; Ingelheim &gt; Fazenda Inglesa &gt; Moinho Preto &gt; Duarte da Silveira &gt; Galpão   Atenção: Corredor serrano e residencial. Caminhão somente após confirmação de largura e giro.</t>
        </is>
      </c>
    </row>
    <row r="169" ht="30" customHeight="1" s="163">
      <c r="A169" s="257" t="inlineStr">
        <is>
          <t>PAR.</t>
        </is>
      </c>
      <c r="B169" s="257" t="inlineStr">
        <is>
          <t>SUB</t>
        </is>
      </c>
      <c r="C169" s="257" t="inlineStr">
        <is>
          <t>CÓDIGO</t>
        </is>
      </c>
      <c r="D169" s="257" t="inlineStr">
        <is>
          <t>ESCOLA</t>
        </is>
      </c>
      <c r="E169" s="257" t="inlineStr">
        <is>
          <t>BAIRRO/CORREDOR</t>
        </is>
      </c>
      <c r="F169" s="257" t="inlineStr">
        <is>
          <t>Abacate</t>
        </is>
      </c>
      <c r="G169" s="257" t="inlineStr">
        <is>
          <t>Abobrinha</t>
        </is>
      </c>
      <c r="H169" s="257" t="inlineStr">
        <is>
          <t>Agrião</t>
        </is>
      </c>
      <c r="I169" s="257" t="inlineStr">
        <is>
          <t>Alface lisa</t>
        </is>
      </c>
      <c r="J169" s="257" t="inlineStr">
        <is>
          <t>Banana prata</t>
        </is>
      </c>
      <c r="K169" s="257" t="inlineStr">
        <is>
          <t>Batata inglesa</t>
        </is>
      </c>
      <c r="L169" s="257" t="inlineStr">
        <is>
          <t>Beterraba</t>
        </is>
      </c>
      <c r="M169" s="257" t="inlineStr">
        <is>
          <t>Brócolis</t>
        </is>
      </c>
      <c r="N169" s="257" t="inlineStr">
        <is>
          <t>Cenoura</t>
        </is>
      </c>
      <c r="O169" s="257" t="inlineStr">
        <is>
          <t>Cheiro verde</t>
        </is>
      </c>
      <c r="P169" s="257" t="inlineStr">
        <is>
          <t>Chuchu</t>
        </is>
      </c>
      <c r="Q169" s="257" t="inlineStr">
        <is>
          <t>Couve manteiga</t>
        </is>
      </c>
      <c r="R169" s="257" t="inlineStr">
        <is>
          <t>Couve-flor</t>
        </is>
      </c>
      <c r="S169" s="257" t="inlineStr">
        <is>
          <t>Espinafre</t>
        </is>
      </c>
      <c r="T169" s="257" t="inlineStr">
        <is>
          <t>Maçã gala</t>
        </is>
      </c>
      <c r="U169" s="257" t="inlineStr">
        <is>
          <t>Mel</t>
        </is>
      </c>
      <c r="V169" s="257" t="inlineStr">
        <is>
          <t>Ovos (dz)</t>
        </is>
      </c>
      <c r="W169" s="257" t="inlineStr">
        <is>
          <t>Repolho</t>
        </is>
      </c>
      <c r="X169" s="257" t="inlineStr">
        <is>
          <t>Tangerina ponkan</t>
        </is>
      </c>
    </row>
    <row r="170" ht="15" customHeight="1" s="163">
      <c r="A170" s="258" t="n">
        <v>1</v>
      </c>
      <c r="B170" s="258" t="n"/>
      <c r="C170" s="258" t="inlineStr">
        <is>
          <t>3060</t>
        </is>
      </c>
      <c r="D170" s="259">
        <f>HYPERLINK("#'CEI OSWALDO CRUZ'!A1","CEI OSWALDO CRUZ")</f>
        <v/>
      </c>
      <c r="E170" s="259" t="inlineStr">
        <is>
          <t>QUARTEIRÃO INGELHEIM</t>
        </is>
      </c>
      <c r="F170" s="260">
        <f>INDEX('Entrada de Dados'!C$6:C$196,MATCH($C170,'Entrada de Dados'!$A$6:$A$196,0))</f>
        <v/>
      </c>
      <c r="G170" s="260">
        <f>INDEX('Entrada de Dados'!D$6:D$196,MATCH($C170,'Entrada de Dados'!$A$6:$A$196,0))</f>
        <v/>
      </c>
      <c r="H170" s="260">
        <f>INDEX('Entrada de Dados'!E$6:E$196,MATCH($C170,'Entrada de Dados'!$A$6:$A$196,0))</f>
        <v/>
      </c>
      <c r="I170" s="260">
        <f>INDEX('Entrada de Dados'!F$6:F$196,MATCH($C170,'Entrada de Dados'!$A$6:$A$196,0))</f>
        <v/>
      </c>
      <c r="J170" s="260">
        <f>INDEX('Entrada de Dados'!G$6:G$196,MATCH($C170,'Entrada de Dados'!$A$6:$A$196,0))</f>
        <v/>
      </c>
      <c r="K170" s="260">
        <f>INDEX('Entrada de Dados'!H$6:H$196,MATCH($C170,'Entrada de Dados'!$A$6:$A$196,0))</f>
        <v/>
      </c>
      <c r="L170" s="260">
        <f>INDEX('Entrada de Dados'!I$6:I$196,MATCH($C170,'Entrada de Dados'!$A$6:$A$196,0))</f>
        <v/>
      </c>
      <c r="M170" s="260">
        <f>INDEX('Entrada de Dados'!J$6:J$196,MATCH($C170,'Entrada de Dados'!$A$6:$A$196,0))</f>
        <v/>
      </c>
      <c r="N170" s="260">
        <f>INDEX('Entrada de Dados'!K$6:K$196,MATCH($C170,'Entrada de Dados'!$A$6:$A$196,0))</f>
        <v/>
      </c>
      <c r="O170" s="260">
        <f>INDEX('Entrada de Dados'!L$6:L$196,MATCH($C170,'Entrada de Dados'!$A$6:$A$196,0))</f>
        <v/>
      </c>
      <c r="P170" s="260">
        <f>INDEX('Entrada de Dados'!M$6:M$196,MATCH($C170,'Entrada de Dados'!$A$6:$A$196,0))</f>
        <v/>
      </c>
      <c r="Q170" s="260">
        <f>INDEX('Entrada de Dados'!N$6:N$196,MATCH($C170,'Entrada de Dados'!$A$6:$A$196,0))</f>
        <v/>
      </c>
      <c r="R170" s="260">
        <f>INDEX('Entrada de Dados'!O$6:O$196,MATCH($C170,'Entrada de Dados'!$A$6:$A$196,0))</f>
        <v/>
      </c>
      <c r="S170" s="260">
        <f>INDEX('Entrada de Dados'!P$6:P$196,MATCH($C170,'Entrada de Dados'!$A$6:$A$196,0))</f>
        <v/>
      </c>
      <c r="T170" s="260">
        <f>INDEX('Entrada de Dados'!Q$6:Q$196,MATCH($C170,'Entrada de Dados'!$A$6:$A$196,0))</f>
        <v/>
      </c>
      <c r="U170" s="260">
        <f>INDEX('Entrada de Dados'!R$6:R$196,MATCH($C170,'Entrada de Dados'!$A$6:$A$196,0))</f>
        <v/>
      </c>
      <c r="V170" s="260">
        <f>INDEX('Entrada de Dados'!S$6:S$196,MATCH($C170,'Entrada de Dados'!$A$6:$A$196,0))</f>
        <v/>
      </c>
      <c r="W170" s="260">
        <f>INDEX('Entrada de Dados'!T$6:T$196,MATCH($C170,'Entrada de Dados'!$A$6:$A$196,0))</f>
        <v/>
      </c>
      <c r="X170" s="260">
        <f>INDEX('Entrada de Dados'!U$6:U$196,MATCH($C170,'Entrada de Dados'!$A$6:$A$196,0))</f>
        <v/>
      </c>
    </row>
    <row r="171" ht="15" customHeight="1" s="163">
      <c r="A171" s="258" t="n">
        <v>2</v>
      </c>
      <c r="B171" s="258" t="n"/>
      <c r="C171" s="258" t="inlineStr">
        <is>
          <t>3001</t>
        </is>
      </c>
      <c r="D171" s="259">
        <f>HYPERLINK("#'CEI ASSOCIAÇÃO BENEFICENTE FAZE'!A1","CEI ASSOCIAÇÃO BENEFICENTE FAZENDA INGLESA")</f>
        <v/>
      </c>
      <c r="E171" s="259" t="inlineStr">
        <is>
          <t>FAZENDA INGLESA</t>
        </is>
      </c>
      <c r="F171" s="260">
        <f>INDEX('Entrada de Dados'!C$6:C$196,MATCH($C171,'Entrada de Dados'!$A$6:$A$196,0))</f>
        <v/>
      </c>
      <c r="G171" s="260">
        <f>INDEX('Entrada de Dados'!D$6:D$196,MATCH($C171,'Entrada de Dados'!$A$6:$A$196,0))</f>
        <v/>
      </c>
      <c r="H171" s="260">
        <f>INDEX('Entrada de Dados'!E$6:E$196,MATCH($C171,'Entrada de Dados'!$A$6:$A$196,0))</f>
        <v/>
      </c>
      <c r="I171" s="260">
        <f>INDEX('Entrada de Dados'!F$6:F$196,MATCH($C171,'Entrada de Dados'!$A$6:$A$196,0))</f>
        <v/>
      </c>
      <c r="J171" s="260">
        <f>INDEX('Entrada de Dados'!G$6:G$196,MATCH($C171,'Entrada de Dados'!$A$6:$A$196,0))</f>
        <v/>
      </c>
      <c r="K171" s="260">
        <f>INDEX('Entrada de Dados'!H$6:H$196,MATCH($C171,'Entrada de Dados'!$A$6:$A$196,0))</f>
        <v/>
      </c>
      <c r="L171" s="260">
        <f>INDEX('Entrada de Dados'!I$6:I$196,MATCH($C171,'Entrada de Dados'!$A$6:$A$196,0))</f>
        <v/>
      </c>
      <c r="M171" s="260">
        <f>INDEX('Entrada de Dados'!J$6:J$196,MATCH($C171,'Entrada de Dados'!$A$6:$A$196,0))</f>
        <v/>
      </c>
      <c r="N171" s="260">
        <f>INDEX('Entrada de Dados'!K$6:K$196,MATCH($C171,'Entrada de Dados'!$A$6:$A$196,0))</f>
        <v/>
      </c>
      <c r="O171" s="260">
        <f>INDEX('Entrada de Dados'!L$6:L$196,MATCH($C171,'Entrada de Dados'!$A$6:$A$196,0))</f>
        <v/>
      </c>
      <c r="P171" s="260">
        <f>INDEX('Entrada de Dados'!M$6:M$196,MATCH($C171,'Entrada de Dados'!$A$6:$A$196,0))</f>
        <v/>
      </c>
      <c r="Q171" s="260">
        <f>INDEX('Entrada de Dados'!N$6:N$196,MATCH($C171,'Entrada de Dados'!$A$6:$A$196,0))</f>
        <v/>
      </c>
      <c r="R171" s="260">
        <f>INDEX('Entrada de Dados'!O$6:O$196,MATCH($C171,'Entrada de Dados'!$A$6:$A$196,0))</f>
        <v/>
      </c>
      <c r="S171" s="260">
        <f>INDEX('Entrada de Dados'!P$6:P$196,MATCH($C171,'Entrada de Dados'!$A$6:$A$196,0))</f>
        <v/>
      </c>
      <c r="T171" s="260">
        <f>INDEX('Entrada de Dados'!Q$6:Q$196,MATCH($C171,'Entrada de Dados'!$A$6:$A$196,0))</f>
        <v/>
      </c>
      <c r="U171" s="260">
        <f>INDEX('Entrada de Dados'!R$6:R$196,MATCH($C171,'Entrada de Dados'!$A$6:$A$196,0))</f>
        <v/>
      </c>
      <c r="V171" s="260">
        <f>INDEX('Entrada de Dados'!S$6:S$196,MATCH($C171,'Entrada de Dados'!$A$6:$A$196,0))</f>
        <v/>
      </c>
      <c r="W171" s="260">
        <f>INDEX('Entrada de Dados'!T$6:T$196,MATCH($C171,'Entrada de Dados'!$A$6:$A$196,0))</f>
        <v/>
      </c>
      <c r="X171" s="260">
        <f>INDEX('Entrada de Dados'!U$6:U$196,MATCH($C171,'Entrada de Dados'!$A$6:$A$196,0))</f>
        <v/>
      </c>
    </row>
    <row r="172" ht="15" customHeight="1" s="163">
      <c r="A172" s="258" t="n">
        <v>3</v>
      </c>
      <c r="B172" s="258" t="n"/>
      <c r="C172" s="258" t="inlineStr">
        <is>
          <t>1011</t>
        </is>
      </c>
      <c r="D172" s="259">
        <f>HYPERLINK("#'E M JOÃO KOPKE'!A1","E M JOÃO KOPKE")</f>
        <v/>
      </c>
      <c r="E172" s="259" t="inlineStr">
        <is>
          <t>FAZENDA INGLESA</t>
        </is>
      </c>
      <c r="F172" s="260">
        <f>INDEX('Entrada de Dados'!C$6:C$196,MATCH($C172,'Entrada de Dados'!$A$6:$A$196,0))</f>
        <v/>
      </c>
      <c r="G172" s="260">
        <f>INDEX('Entrada de Dados'!D$6:D$196,MATCH($C172,'Entrada de Dados'!$A$6:$A$196,0))</f>
        <v/>
      </c>
      <c r="H172" s="260">
        <f>INDEX('Entrada de Dados'!E$6:E$196,MATCH($C172,'Entrada de Dados'!$A$6:$A$196,0))</f>
        <v/>
      </c>
      <c r="I172" s="260">
        <f>INDEX('Entrada de Dados'!F$6:F$196,MATCH($C172,'Entrada de Dados'!$A$6:$A$196,0))</f>
        <v/>
      </c>
      <c r="J172" s="260">
        <f>INDEX('Entrada de Dados'!G$6:G$196,MATCH($C172,'Entrada de Dados'!$A$6:$A$196,0))</f>
        <v/>
      </c>
      <c r="K172" s="260">
        <f>INDEX('Entrada de Dados'!H$6:H$196,MATCH($C172,'Entrada de Dados'!$A$6:$A$196,0))</f>
        <v/>
      </c>
      <c r="L172" s="260">
        <f>INDEX('Entrada de Dados'!I$6:I$196,MATCH($C172,'Entrada de Dados'!$A$6:$A$196,0))</f>
        <v/>
      </c>
      <c r="M172" s="260">
        <f>INDEX('Entrada de Dados'!J$6:J$196,MATCH($C172,'Entrada de Dados'!$A$6:$A$196,0))</f>
        <v/>
      </c>
      <c r="N172" s="260">
        <f>INDEX('Entrada de Dados'!K$6:K$196,MATCH($C172,'Entrada de Dados'!$A$6:$A$196,0))</f>
        <v/>
      </c>
      <c r="O172" s="260">
        <f>INDEX('Entrada de Dados'!L$6:L$196,MATCH($C172,'Entrada de Dados'!$A$6:$A$196,0))</f>
        <v/>
      </c>
      <c r="P172" s="260">
        <f>INDEX('Entrada de Dados'!M$6:M$196,MATCH($C172,'Entrada de Dados'!$A$6:$A$196,0))</f>
        <v/>
      </c>
      <c r="Q172" s="260">
        <f>INDEX('Entrada de Dados'!N$6:N$196,MATCH($C172,'Entrada de Dados'!$A$6:$A$196,0))</f>
        <v/>
      </c>
      <c r="R172" s="260">
        <f>INDEX('Entrada de Dados'!O$6:O$196,MATCH($C172,'Entrada de Dados'!$A$6:$A$196,0))</f>
        <v/>
      </c>
      <c r="S172" s="260">
        <f>INDEX('Entrada de Dados'!P$6:P$196,MATCH($C172,'Entrada de Dados'!$A$6:$A$196,0))</f>
        <v/>
      </c>
      <c r="T172" s="260">
        <f>INDEX('Entrada de Dados'!Q$6:Q$196,MATCH($C172,'Entrada de Dados'!$A$6:$A$196,0))</f>
        <v/>
      </c>
      <c r="U172" s="260">
        <f>INDEX('Entrada de Dados'!R$6:R$196,MATCH($C172,'Entrada de Dados'!$A$6:$A$196,0))</f>
        <v/>
      </c>
      <c r="V172" s="260">
        <f>INDEX('Entrada de Dados'!S$6:S$196,MATCH($C172,'Entrada de Dados'!$A$6:$A$196,0))</f>
        <v/>
      </c>
      <c r="W172" s="260">
        <f>INDEX('Entrada de Dados'!T$6:T$196,MATCH($C172,'Entrada de Dados'!$A$6:$A$196,0))</f>
        <v/>
      </c>
      <c r="X172" s="260">
        <f>INDEX('Entrada de Dados'!U$6:U$196,MATCH($C172,'Entrada de Dados'!$A$6:$A$196,0))</f>
        <v/>
      </c>
    </row>
    <row r="173" ht="15" customHeight="1" s="163">
      <c r="A173" s="258" t="n">
        <v>4</v>
      </c>
      <c r="B173" s="258" t="n"/>
      <c r="C173" s="258" t="inlineStr">
        <is>
          <t>3006</t>
        </is>
      </c>
      <c r="D173" s="259">
        <f>HYPERLINK("#'CEI SÃO FRANCISCO ASSIS'!A1","CEI SÃO FRANCISCO ASSIS")</f>
        <v/>
      </c>
      <c r="E173" s="259" t="inlineStr">
        <is>
          <t>MOINHO PRETO</t>
        </is>
      </c>
      <c r="F173" s="260">
        <f>INDEX('Entrada de Dados'!C$6:C$196,MATCH($C173,'Entrada de Dados'!$A$6:$A$196,0))</f>
        <v/>
      </c>
      <c r="G173" s="260">
        <f>INDEX('Entrada de Dados'!D$6:D$196,MATCH($C173,'Entrada de Dados'!$A$6:$A$196,0))</f>
        <v/>
      </c>
      <c r="H173" s="260">
        <f>INDEX('Entrada de Dados'!E$6:E$196,MATCH($C173,'Entrada de Dados'!$A$6:$A$196,0))</f>
        <v/>
      </c>
      <c r="I173" s="260">
        <f>INDEX('Entrada de Dados'!F$6:F$196,MATCH($C173,'Entrada de Dados'!$A$6:$A$196,0))</f>
        <v/>
      </c>
      <c r="J173" s="260">
        <f>INDEX('Entrada de Dados'!G$6:G$196,MATCH($C173,'Entrada de Dados'!$A$6:$A$196,0))</f>
        <v/>
      </c>
      <c r="K173" s="260">
        <f>INDEX('Entrada de Dados'!H$6:H$196,MATCH($C173,'Entrada de Dados'!$A$6:$A$196,0))</f>
        <v/>
      </c>
      <c r="L173" s="260">
        <f>INDEX('Entrada de Dados'!I$6:I$196,MATCH($C173,'Entrada de Dados'!$A$6:$A$196,0))</f>
        <v/>
      </c>
      <c r="M173" s="260">
        <f>INDEX('Entrada de Dados'!J$6:J$196,MATCH($C173,'Entrada de Dados'!$A$6:$A$196,0))</f>
        <v/>
      </c>
      <c r="N173" s="260">
        <f>INDEX('Entrada de Dados'!K$6:K$196,MATCH($C173,'Entrada de Dados'!$A$6:$A$196,0))</f>
        <v/>
      </c>
      <c r="O173" s="260">
        <f>INDEX('Entrada de Dados'!L$6:L$196,MATCH($C173,'Entrada de Dados'!$A$6:$A$196,0))</f>
        <v/>
      </c>
      <c r="P173" s="260">
        <f>INDEX('Entrada de Dados'!M$6:M$196,MATCH($C173,'Entrada de Dados'!$A$6:$A$196,0))</f>
        <v/>
      </c>
      <c r="Q173" s="260">
        <f>INDEX('Entrada de Dados'!N$6:N$196,MATCH($C173,'Entrada de Dados'!$A$6:$A$196,0))</f>
        <v/>
      </c>
      <c r="R173" s="260">
        <f>INDEX('Entrada de Dados'!O$6:O$196,MATCH($C173,'Entrada de Dados'!$A$6:$A$196,0))</f>
        <v/>
      </c>
      <c r="S173" s="260">
        <f>INDEX('Entrada de Dados'!P$6:P$196,MATCH($C173,'Entrada de Dados'!$A$6:$A$196,0))</f>
        <v/>
      </c>
      <c r="T173" s="260">
        <f>INDEX('Entrada de Dados'!Q$6:Q$196,MATCH($C173,'Entrada de Dados'!$A$6:$A$196,0))</f>
        <v/>
      </c>
      <c r="U173" s="260">
        <f>INDEX('Entrada de Dados'!R$6:R$196,MATCH($C173,'Entrada de Dados'!$A$6:$A$196,0))</f>
        <v/>
      </c>
      <c r="V173" s="260">
        <f>INDEX('Entrada de Dados'!S$6:S$196,MATCH($C173,'Entrada de Dados'!$A$6:$A$196,0))</f>
        <v/>
      </c>
      <c r="W173" s="260">
        <f>INDEX('Entrada de Dados'!T$6:T$196,MATCH($C173,'Entrada de Dados'!$A$6:$A$196,0))</f>
        <v/>
      </c>
      <c r="X173" s="260">
        <f>INDEX('Entrada de Dados'!U$6:U$196,MATCH($C173,'Entrada de Dados'!$A$6:$A$196,0))</f>
        <v/>
      </c>
    </row>
    <row r="174" ht="15" customHeight="1" s="163">
      <c r="A174" s="258" t="n">
        <v>5</v>
      </c>
      <c r="B174" s="258" t="n"/>
      <c r="C174" s="258" t="inlineStr">
        <is>
          <t>2027</t>
        </is>
      </c>
      <c r="D174" s="259">
        <f>HYPERLINK("#'ESCOLA SAO FRANCISCO DE ASSIS'!A1","ESCOLA SAO FRANCISCO DE ASSIS")</f>
        <v/>
      </c>
      <c r="E174" s="259" t="inlineStr">
        <is>
          <t>MOINHO PRETO</t>
        </is>
      </c>
      <c r="F174" s="260">
        <f>INDEX('Entrada de Dados'!C$6:C$196,MATCH($C174,'Entrada de Dados'!$A$6:$A$196,0))</f>
        <v/>
      </c>
      <c r="G174" s="260">
        <f>INDEX('Entrada de Dados'!D$6:D$196,MATCH($C174,'Entrada de Dados'!$A$6:$A$196,0))</f>
        <v/>
      </c>
      <c r="H174" s="260">
        <f>INDEX('Entrada de Dados'!E$6:E$196,MATCH($C174,'Entrada de Dados'!$A$6:$A$196,0))</f>
        <v/>
      </c>
      <c r="I174" s="260">
        <f>INDEX('Entrada de Dados'!F$6:F$196,MATCH($C174,'Entrada de Dados'!$A$6:$A$196,0))</f>
        <v/>
      </c>
      <c r="J174" s="260">
        <f>INDEX('Entrada de Dados'!G$6:G$196,MATCH($C174,'Entrada de Dados'!$A$6:$A$196,0))</f>
        <v/>
      </c>
      <c r="K174" s="260">
        <f>INDEX('Entrada de Dados'!H$6:H$196,MATCH($C174,'Entrada de Dados'!$A$6:$A$196,0))</f>
        <v/>
      </c>
      <c r="L174" s="260">
        <f>INDEX('Entrada de Dados'!I$6:I$196,MATCH($C174,'Entrada de Dados'!$A$6:$A$196,0))</f>
        <v/>
      </c>
      <c r="M174" s="260">
        <f>INDEX('Entrada de Dados'!J$6:J$196,MATCH($C174,'Entrada de Dados'!$A$6:$A$196,0))</f>
        <v/>
      </c>
      <c r="N174" s="260">
        <f>INDEX('Entrada de Dados'!K$6:K$196,MATCH($C174,'Entrada de Dados'!$A$6:$A$196,0))</f>
        <v/>
      </c>
      <c r="O174" s="260">
        <f>INDEX('Entrada de Dados'!L$6:L$196,MATCH($C174,'Entrada de Dados'!$A$6:$A$196,0))</f>
        <v/>
      </c>
      <c r="P174" s="260">
        <f>INDEX('Entrada de Dados'!M$6:M$196,MATCH($C174,'Entrada de Dados'!$A$6:$A$196,0))</f>
        <v/>
      </c>
      <c r="Q174" s="260">
        <f>INDEX('Entrada de Dados'!N$6:N$196,MATCH($C174,'Entrada de Dados'!$A$6:$A$196,0))</f>
        <v/>
      </c>
      <c r="R174" s="260">
        <f>INDEX('Entrada de Dados'!O$6:O$196,MATCH($C174,'Entrada de Dados'!$A$6:$A$196,0))</f>
        <v/>
      </c>
      <c r="S174" s="260">
        <f>INDEX('Entrada de Dados'!P$6:P$196,MATCH($C174,'Entrada de Dados'!$A$6:$A$196,0))</f>
        <v/>
      </c>
      <c r="T174" s="260">
        <f>INDEX('Entrada de Dados'!Q$6:Q$196,MATCH($C174,'Entrada de Dados'!$A$6:$A$196,0))</f>
        <v/>
      </c>
      <c r="U174" s="260">
        <f>INDEX('Entrada de Dados'!R$6:R$196,MATCH($C174,'Entrada de Dados'!$A$6:$A$196,0))</f>
        <v/>
      </c>
      <c r="V174" s="260">
        <f>INDEX('Entrada de Dados'!S$6:S$196,MATCH($C174,'Entrada de Dados'!$A$6:$A$196,0))</f>
        <v/>
      </c>
      <c r="W174" s="260">
        <f>INDEX('Entrada de Dados'!T$6:T$196,MATCH($C174,'Entrada de Dados'!$A$6:$A$196,0))</f>
        <v/>
      </c>
      <c r="X174" s="260">
        <f>INDEX('Entrada de Dados'!U$6:U$196,MATCH($C174,'Entrada de Dados'!$A$6:$A$196,0))</f>
        <v/>
      </c>
    </row>
    <row r="175" ht="15" customHeight="1" s="163">
      <c r="A175" s="258" t="n">
        <v>6</v>
      </c>
      <c r="B175" s="258" t="n"/>
      <c r="C175" s="258" t="inlineStr">
        <is>
          <t>3005</t>
        </is>
      </c>
      <c r="D175" s="259">
        <f>HYPERLINK("#'CEI SÃO JOÃO BATISTA'!A1","CEI SÃO JOÃO BATISTA")</f>
        <v/>
      </c>
      <c r="E175" s="259" t="inlineStr">
        <is>
          <t>DUARTE DA SILVEIRA</t>
        </is>
      </c>
      <c r="F175" s="260">
        <f>INDEX('Entrada de Dados'!C$6:C$196,MATCH($C175,'Entrada de Dados'!$A$6:$A$196,0))</f>
        <v/>
      </c>
      <c r="G175" s="260">
        <f>INDEX('Entrada de Dados'!D$6:D$196,MATCH($C175,'Entrada de Dados'!$A$6:$A$196,0))</f>
        <v/>
      </c>
      <c r="H175" s="260">
        <f>INDEX('Entrada de Dados'!E$6:E$196,MATCH($C175,'Entrada de Dados'!$A$6:$A$196,0))</f>
        <v/>
      </c>
      <c r="I175" s="260">
        <f>INDEX('Entrada de Dados'!F$6:F$196,MATCH($C175,'Entrada de Dados'!$A$6:$A$196,0))</f>
        <v/>
      </c>
      <c r="J175" s="260">
        <f>INDEX('Entrada de Dados'!G$6:G$196,MATCH($C175,'Entrada de Dados'!$A$6:$A$196,0))</f>
        <v/>
      </c>
      <c r="K175" s="260">
        <f>INDEX('Entrada de Dados'!H$6:H$196,MATCH($C175,'Entrada de Dados'!$A$6:$A$196,0))</f>
        <v/>
      </c>
      <c r="L175" s="260">
        <f>INDEX('Entrada de Dados'!I$6:I$196,MATCH($C175,'Entrada de Dados'!$A$6:$A$196,0))</f>
        <v/>
      </c>
      <c r="M175" s="260">
        <f>INDEX('Entrada de Dados'!J$6:J$196,MATCH($C175,'Entrada de Dados'!$A$6:$A$196,0))</f>
        <v/>
      </c>
      <c r="N175" s="260">
        <f>INDEX('Entrada de Dados'!K$6:K$196,MATCH($C175,'Entrada de Dados'!$A$6:$A$196,0))</f>
        <v/>
      </c>
      <c r="O175" s="260">
        <f>INDEX('Entrada de Dados'!L$6:L$196,MATCH($C175,'Entrada de Dados'!$A$6:$A$196,0))</f>
        <v/>
      </c>
      <c r="P175" s="260">
        <f>INDEX('Entrada de Dados'!M$6:M$196,MATCH($C175,'Entrada de Dados'!$A$6:$A$196,0))</f>
        <v/>
      </c>
      <c r="Q175" s="260">
        <f>INDEX('Entrada de Dados'!N$6:N$196,MATCH($C175,'Entrada de Dados'!$A$6:$A$196,0))</f>
        <v/>
      </c>
      <c r="R175" s="260">
        <f>INDEX('Entrada de Dados'!O$6:O$196,MATCH($C175,'Entrada de Dados'!$A$6:$A$196,0))</f>
        <v/>
      </c>
      <c r="S175" s="260">
        <f>INDEX('Entrada de Dados'!P$6:P$196,MATCH($C175,'Entrada de Dados'!$A$6:$A$196,0))</f>
        <v/>
      </c>
      <c r="T175" s="260">
        <f>INDEX('Entrada de Dados'!Q$6:Q$196,MATCH($C175,'Entrada de Dados'!$A$6:$A$196,0))</f>
        <v/>
      </c>
      <c r="U175" s="260">
        <f>INDEX('Entrada de Dados'!R$6:R$196,MATCH($C175,'Entrada de Dados'!$A$6:$A$196,0))</f>
        <v/>
      </c>
      <c r="V175" s="260">
        <f>INDEX('Entrada de Dados'!S$6:S$196,MATCH($C175,'Entrada de Dados'!$A$6:$A$196,0))</f>
        <v/>
      </c>
      <c r="W175" s="260">
        <f>INDEX('Entrada de Dados'!T$6:T$196,MATCH($C175,'Entrada de Dados'!$A$6:$A$196,0))</f>
        <v/>
      </c>
      <c r="X175" s="260">
        <f>INDEX('Entrada de Dados'!U$6:U$196,MATCH($C175,'Entrada de Dados'!$A$6:$A$196,0))</f>
        <v/>
      </c>
    </row>
    <row r="176" ht="15" customHeight="1" s="163">
      <c r="A176" s="258" t="n">
        <v>7</v>
      </c>
      <c r="B176" s="258" t="n"/>
      <c r="C176" s="258" t="inlineStr">
        <is>
          <t>3080</t>
        </is>
      </c>
      <c r="D176" s="259">
        <f>HYPERLINK("#'CEI JURACI PINTO DO AMARAL DE C'!A1","CEI JURACI PINTO DO AMARAL DE CASTRO")</f>
        <v/>
      </c>
      <c r="E176" s="259" t="inlineStr">
        <is>
          <t>DUARTE DA SILVEIRA</t>
        </is>
      </c>
      <c r="F176" s="260">
        <f>INDEX('Entrada de Dados'!C$6:C$196,MATCH($C176,'Entrada de Dados'!$A$6:$A$196,0))</f>
        <v/>
      </c>
      <c r="G176" s="260">
        <f>INDEX('Entrada de Dados'!D$6:D$196,MATCH($C176,'Entrada de Dados'!$A$6:$A$196,0))</f>
        <v/>
      </c>
      <c r="H176" s="260">
        <f>INDEX('Entrada de Dados'!E$6:E$196,MATCH($C176,'Entrada de Dados'!$A$6:$A$196,0))</f>
        <v/>
      </c>
      <c r="I176" s="260">
        <f>INDEX('Entrada de Dados'!F$6:F$196,MATCH($C176,'Entrada de Dados'!$A$6:$A$196,0))</f>
        <v/>
      </c>
      <c r="J176" s="260">
        <f>INDEX('Entrada de Dados'!G$6:G$196,MATCH($C176,'Entrada de Dados'!$A$6:$A$196,0))</f>
        <v/>
      </c>
      <c r="K176" s="260">
        <f>INDEX('Entrada de Dados'!H$6:H$196,MATCH($C176,'Entrada de Dados'!$A$6:$A$196,0))</f>
        <v/>
      </c>
      <c r="L176" s="260">
        <f>INDEX('Entrada de Dados'!I$6:I$196,MATCH($C176,'Entrada de Dados'!$A$6:$A$196,0))</f>
        <v/>
      </c>
      <c r="M176" s="260">
        <f>INDEX('Entrada de Dados'!J$6:J$196,MATCH($C176,'Entrada de Dados'!$A$6:$A$196,0))</f>
        <v/>
      </c>
      <c r="N176" s="260">
        <f>INDEX('Entrada de Dados'!K$6:K$196,MATCH($C176,'Entrada de Dados'!$A$6:$A$196,0))</f>
        <v/>
      </c>
      <c r="O176" s="260">
        <f>INDEX('Entrada de Dados'!L$6:L$196,MATCH($C176,'Entrada de Dados'!$A$6:$A$196,0))</f>
        <v/>
      </c>
      <c r="P176" s="260">
        <f>INDEX('Entrada de Dados'!M$6:M$196,MATCH($C176,'Entrada de Dados'!$A$6:$A$196,0))</f>
        <v/>
      </c>
      <c r="Q176" s="260">
        <f>INDEX('Entrada de Dados'!N$6:N$196,MATCH($C176,'Entrada de Dados'!$A$6:$A$196,0))</f>
        <v/>
      </c>
      <c r="R176" s="260">
        <f>INDEX('Entrada de Dados'!O$6:O$196,MATCH($C176,'Entrada de Dados'!$A$6:$A$196,0))</f>
        <v/>
      </c>
      <c r="S176" s="260">
        <f>INDEX('Entrada de Dados'!P$6:P$196,MATCH($C176,'Entrada de Dados'!$A$6:$A$196,0))</f>
        <v/>
      </c>
      <c r="T176" s="260">
        <f>INDEX('Entrada de Dados'!Q$6:Q$196,MATCH($C176,'Entrada de Dados'!$A$6:$A$196,0))</f>
        <v/>
      </c>
      <c r="U176" s="260">
        <f>INDEX('Entrada de Dados'!R$6:R$196,MATCH($C176,'Entrada de Dados'!$A$6:$A$196,0))</f>
        <v/>
      </c>
      <c r="V176" s="260">
        <f>INDEX('Entrada de Dados'!S$6:S$196,MATCH($C176,'Entrada de Dados'!$A$6:$A$196,0))</f>
        <v/>
      </c>
      <c r="W176" s="260">
        <f>INDEX('Entrada de Dados'!T$6:T$196,MATCH($C176,'Entrada de Dados'!$A$6:$A$196,0))</f>
        <v/>
      </c>
      <c r="X176" s="260">
        <f>INDEX('Entrada de Dados'!U$6:U$196,MATCH($C176,'Entrada de Dados'!$A$6:$A$196,0))</f>
        <v/>
      </c>
    </row>
    <row r="177" ht="21.75" customHeight="1" s="163">
      <c r="A177" s="265" t="inlineStr">
        <is>
          <t>Peso previsto:</t>
        </is>
      </c>
      <c r="C177" s="266">
        <f>SUM(F170:F176)+SUM(G170:G176)+SUM(H170:H176)+SUM(I170:I176)+SUM(J170:J176)+SUM(K170:K176)+SUM(L170:L176)+SUM(M170:M176)+SUM(N170:N176)+SUM(O170:O176)+SUM(P170:P176)+SUM(Q170:Q176)+SUM(R170:R176)+SUM(S170:S176)+SUM(T170:T176)+SUM(U170:U176)+SUM(W170:W176)+SUM(X170:X176)</f>
        <v/>
      </c>
      <c r="D177" s="265" t="inlineStr">
        <is>
          <t>Peso embarcado (kg):</t>
        </is>
      </c>
      <c r="F177" s="267" t="n"/>
      <c r="G177" s="265" t="inlineStr">
        <is>
          <t>Veículo:</t>
        </is>
      </c>
      <c r="I177" s="267" t="n"/>
      <c r="J177" s="268" t="n"/>
      <c r="K177" s="265" t="inlineStr">
        <is>
          <t>Motorista:</t>
        </is>
      </c>
      <c r="M177" s="267" t="n"/>
      <c r="N177" s="269" t="n"/>
      <c r="O177" s="269" t="n"/>
      <c r="P177" s="269" t="n"/>
      <c r="Q177" s="269" t="n"/>
      <c r="R177" s="269" t="n"/>
      <c r="S177" s="269" t="n"/>
      <c r="T177" s="269" t="n"/>
      <c r="U177" s="269" t="n"/>
      <c r="V177" s="269" t="n"/>
      <c r="W177" s="269" t="n"/>
      <c r="X177" s="268" t="n"/>
    </row>
    <row r="179" ht="19.5" customHeight="1" s="163">
      <c r="A179" s="186" t="inlineStr">
        <is>
          <t>ROTA T3 — CENTRO - TERRA SANTA · CAMINHÃO MÉDIO · 21 escolas · 19 paradas físicas</t>
        </is>
      </c>
    </row>
    <row r="180" ht="25.5" customHeight="1" s="163">
      <c r="A180" s="256" t="inlineStr">
        <is>
          <t>Sequência-base: Galpão Itaipava &gt; Centro &gt; Terra Santa &gt; Galpão   Atenção: São 21 escolas, mas 19 paradas físicas. Se exceder 3.000 kg, dividir mantendo a mesma sequência.</t>
        </is>
      </c>
    </row>
    <row r="181" ht="30" customHeight="1" s="163">
      <c r="A181" s="257" t="inlineStr">
        <is>
          <t>PAR.</t>
        </is>
      </c>
      <c r="B181" s="257" t="inlineStr">
        <is>
          <t>SUB</t>
        </is>
      </c>
      <c r="C181" s="257" t="inlineStr">
        <is>
          <t>CÓDIGO</t>
        </is>
      </c>
      <c r="D181" s="257" t="inlineStr">
        <is>
          <t>ESCOLA</t>
        </is>
      </c>
      <c r="E181" s="257" t="inlineStr">
        <is>
          <t>BAIRRO/CORREDOR</t>
        </is>
      </c>
      <c r="F181" s="257" t="inlineStr">
        <is>
          <t>Abacate</t>
        </is>
      </c>
      <c r="G181" s="257" t="inlineStr">
        <is>
          <t>Abobrinha</t>
        </is>
      </c>
      <c r="H181" s="257" t="inlineStr">
        <is>
          <t>Agrião</t>
        </is>
      </c>
      <c r="I181" s="257" t="inlineStr">
        <is>
          <t>Alface lisa</t>
        </is>
      </c>
      <c r="J181" s="257" t="inlineStr">
        <is>
          <t>Banana prata</t>
        </is>
      </c>
      <c r="K181" s="257" t="inlineStr">
        <is>
          <t>Batata inglesa</t>
        </is>
      </c>
      <c r="L181" s="257" t="inlineStr">
        <is>
          <t>Beterraba</t>
        </is>
      </c>
      <c r="M181" s="257" t="inlineStr">
        <is>
          <t>Brócolis</t>
        </is>
      </c>
      <c r="N181" s="257" t="inlineStr">
        <is>
          <t>Cenoura</t>
        </is>
      </c>
      <c r="O181" s="257" t="inlineStr">
        <is>
          <t>Cheiro verde</t>
        </is>
      </c>
      <c r="P181" s="257" t="inlineStr">
        <is>
          <t>Chuchu</t>
        </is>
      </c>
      <c r="Q181" s="257" t="inlineStr">
        <is>
          <t>Couve manteiga</t>
        </is>
      </c>
      <c r="R181" s="257" t="inlineStr">
        <is>
          <t>Couve-flor</t>
        </is>
      </c>
      <c r="S181" s="257" t="inlineStr">
        <is>
          <t>Espinafre</t>
        </is>
      </c>
      <c r="T181" s="257" t="inlineStr">
        <is>
          <t>Maçã gala</t>
        </is>
      </c>
      <c r="U181" s="257" t="inlineStr">
        <is>
          <t>Mel</t>
        </is>
      </c>
      <c r="V181" s="257" t="inlineStr">
        <is>
          <t>Ovos (dz)</t>
        </is>
      </c>
      <c r="W181" s="257" t="inlineStr">
        <is>
          <t>Repolho</t>
        </is>
      </c>
      <c r="X181" s="257" t="inlineStr">
        <is>
          <t>Tangerina ponkan</t>
        </is>
      </c>
    </row>
    <row r="182" ht="15" customHeight="1" s="163">
      <c r="A182" s="258" t="n">
        <v>1</v>
      </c>
      <c r="B182" s="258" t="n"/>
      <c r="C182" s="258" t="inlineStr">
        <is>
          <t>2010</t>
        </is>
      </c>
      <c r="D182" s="259">
        <f>HYPERLINK("#'ESCOLA DOMÉSTICA NOSSA SENHORA '!A1","ESCOLA DOMÉSTICA NOSSA SENHORA DO AMPARO")</f>
        <v/>
      </c>
      <c r="E182" s="259" t="inlineStr">
        <is>
          <t>CENTRO</t>
        </is>
      </c>
      <c r="F182" s="260">
        <f>INDEX('Entrada de Dados'!C$6:C$196,MATCH($C182,'Entrada de Dados'!$A$6:$A$196,0))</f>
        <v/>
      </c>
      <c r="G182" s="260">
        <f>INDEX('Entrada de Dados'!D$6:D$196,MATCH($C182,'Entrada de Dados'!$A$6:$A$196,0))</f>
        <v/>
      </c>
      <c r="H182" s="260">
        <f>INDEX('Entrada de Dados'!E$6:E$196,MATCH($C182,'Entrada de Dados'!$A$6:$A$196,0))</f>
        <v/>
      </c>
      <c r="I182" s="260">
        <f>INDEX('Entrada de Dados'!F$6:F$196,MATCH($C182,'Entrada de Dados'!$A$6:$A$196,0))</f>
        <v/>
      </c>
      <c r="J182" s="260">
        <f>INDEX('Entrada de Dados'!G$6:G$196,MATCH($C182,'Entrada de Dados'!$A$6:$A$196,0))</f>
        <v/>
      </c>
      <c r="K182" s="260">
        <f>INDEX('Entrada de Dados'!H$6:H$196,MATCH($C182,'Entrada de Dados'!$A$6:$A$196,0))</f>
        <v/>
      </c>
      <c r="L182" s="260">
        <f>INDEX('Entrada de Dados'!I$6:I$196,MATCH($C182,'Entrada de Dados'!$A$6:$A$196,0))</f>
        <v/>
      </c>
      <c r="M182" s="260">
        <f>INDEX('Entrada de Dados'!J$6:J$196,MATCH($C182,'Entrada de Dados'!$A$6:$A$196,0))</f>
        <v/>
      </c>
      <c r="N182" s="260">
        <f>INDEX('Entrada de Dados'!K$6:K$196,MATCH($C182,'Entrada de Dados'!$A$6:$A$196,0))</f>
        <v/>
      </c>
      <c r="O182" s="260">
        <f>INDEX('Entrada de Dados'!L$6:L$196,MATCH($C182,'Entrada de Dados'!$A$6:$A$196,0))</f>
        <v/>
      </c>
      <c r="P182" s="260">
        <f>INDEX('Entrada de Dados'!M$6:M$196,MATCH($C182,'Entrada de Dados'!$A$6:$A$196,0))</f>
        <v/>
      </c>
      <c r="Q182" s="260">
        <f>INDEX('Entrada de Dados'!N$6:N$196,MATCH($C182,'Entrada de Dados'!$A$6:$A$196,0))</f>
        <v/>
      </c>
      <c r="R182" s="260">
        <f>INDEX('Entrada de Dados'!O$6:O$196,MATCH($C182,'Entrada de Dados'!$A$6:$A$196,0))</f>
        <v/>
      </c>
      <c r="S182" s="260">
        <f>INDEX('Entrada de Dados'!P$6:P$196,MATCH($C182,'Entrada de Dados'!$A$6:$A$196,0))</f>
        <v/>
      </c>
      <c r="T182" s="260">
        <f>INDEX('Entrada de Dados'!Q$6:Q$196,MATCH($C182,'Entrada de Dados'!$A$6:$A$196,0))</f>
        <v/>
      </c>
      <c r="U182" s="260">
        <f>INDEX('Entrada de Dados'!R$6:R$196,MATCH($C182,'Entrada de Dados'!$A$6:$A$196,0))</f>
        <v/>
      </c>
      <c r="V182" s="260">
        <f>INDEX('Entrada de Dados'!S$6:S$196,MATCH($C182,'Entrada de Dados'!$A$6:$A$196,0))</f>
        <v/>
      </c>
      <c r="W182" s="260">
        <f>INDEX('Entrada de Dados'!T$6:T$196,MATCH($C182,'Entrada de Dados'!$A$6:$A$196,0))</f>
        <v/>
      </c>
      <c r="X182" s="260">
        <f>INDEX('Entrada de Dados'!U$6:U$196,MATCH($C182,'Entrada de Dados'!$A$6:$A$196,0))</f>
        <v/>
      </c>
    </row>
    <row r="183" ht="15" customHeight="1" s="163">
      <c r="A183" s="258" t="n">
        <v>2</v>
      </c>
      <c r="B183" s="258" t="n"/>
      <c r="C183" s="258" t="inlineStr">
        <is>
          <t>3054</t>
        </is>
      </c>
      <c r="D183" s="259">
        <f>HYPERLINK("#'CEI PROFª PATRÍCIA FERREIRA E S'!A1","CEI PROFª PATRÍCIA FERREIRA E SILVA FREITAS")</f>
        <v/>
      </c>
      <c r="E183" s="259" t="inlineStr">
        <is>
          <t>CENTRO</t>
        </is>
      </c>
      <c r="F183" s="260">
        <f>INDEX('Entrada de Dados'!C$6:C$196,MATCH($C183,'Entrada de Dados'!$A$6:$A$196,0))</f>
        <v/>
      </c>
      <c r="G183" s="260">
        <f>INDEX('Entrada de Dados'!D$6:D$196,MATCH($C183,'Entrada de Dados'!$A$6:$A$196,0))</f>
        <v/>
      </c>
      <c r="H183" s="260">
        <f>INDEX('Entrada de Dados'!E$6:E$196,MATCH($C183,'Entrada de Dados'!$A$6:$A$196,0))</f>
        <v/>
      </c>
      <c r="I183" s="260">
        <f>INDEX('Entrada de Dados'!F$6:F$196,MATCH($C183,'Entrada de Dados'!$A$6:$A$196,0))</f>
        <v/>
      </c>
      <c r="J183" s="260">
        <f>INDEX('Entrada de Dados'!G$6:G$196,MATCH($C183,'Entrada de Dados'!$A$6:$A$196,0))</f>
        <v/>
      </c>
      <c r="K183" s="260">
        <f>INDEX('Entrada de Dados'!H$6:H$196,MATCH($C183,'Entrada de Dados'!$A$6:$A$196,0))</f>
        <v/>
      </c>
      <c r="L183" s="260">
        <f>INDEX('Entrada de Dados'!I$6:I$196,MATCH($C183,'Entrada de Dados'!$A$6:$A$196,0))</f>
        <v/>
      </c>
      <c r="M183" s="260">
        <f>INDEX('Entrada de Dados'!J$6:J$196,MATCH($C183,'Entrada de Dados'!$A$6:$A$196,0))</f>
        <v/>
      </c>
      <c r="N183" s="260">
        <f>INDEX('Entrada de Dados'!K$6:K$196,MATCH($C183,'Entrada de Dados'!$A$6:$A$196,0))</f>
        <v/>
      </c>
      <c r="O183" s="260">
        <f>INDEX('Entrada de Dados'!L$6:L$196,MATCH($C183,'Entrada de Dados'!$A$6:$A$196,0))</f>
        <v/>
      </c>
      <c r="P183" s="260">
        <f>INDEX('Entrada de Dados'!M$6:M$196,MATCH($C183,'Entrada de Dados'!$A$6:$A$196,0))</f>
        <v/>
      </c>
      <c r="Q183" s="260">
        <f>INDEX('Entrada de Dados'!N$6:N$196,MATCH($C183,'Entrada de Dados'!$A$6:$A$196,0))</f>
        <v/>
      </c>
      <c r="R183" s="260">
        <f>INDEX('Entrada de Dados'!O$6:O$196,MATCH($C183,'Entrada de Dados'!$A$6:$A$196,0))</f>
        <v/>
      </c>
      <c r="S183" s="260">
        <f>INDEX('Entrada de Dados'!P$6:P$196,MATCH($C183,'Entrada de Dados'!$A$6:$A$196,0))</f>
        <v/>
      </c>
      <c r="T183" s="260">
        <f>INDEX('Entrada de Dados'!Q$6:Q$196,MATCH($C183,'Entrada de Dados'!$A$6:$A$196,0))</f>
        <v/>
      </c>
      <c r="U183" s="260">
        <f>INDEX('Entrada de Dados'!R$6:R$196,MATCH($C183,'Entrada de Dados'!$A$6:$A$196,0))</f>
        <v/>
      </c>
      <c r="V183" s="260">
        <f>INDEX('Entrada de Dados'!S$6:S$196,MATCH($C183,'Entrada de Dados'!$A$6:$A$196,0))</f>
        <v/>
      </c>
      <c r="W183" s="260">
        <f>INDEX('Entrada de Dados'!T$6:T$196,MATCH($C183,'Entrada de Dados'!$A$6:$A$196,0))</f>
        <v/>
      </c>
      <c r="X183" s="260">
        <f>INDEX('Entrada de Dados'!U$6:U$196,MATCH($C183,'Entrada de Dados'!$A$6:$A$196,0))</f>
        <v/>
      </c>
    </row>
    <row r="184" ht="15" customHeight="1" s="163">
      <c r="A184" s="258" t="n">
        <v>3</v>
      </c>
      <c r="B184" s="258" t="n"/>
      <c r="C184" s="258" t="inlineStr">
        <is>
          <t>1114</t>
        </is>
      </c>
      <c r="D184" s="259">
        <f>HYPERLINK("#'CASA DA EDUCAÇÃO VISCONDE DE MA'!A1","CASA DA EDUCAÇÃO VISCONDE DE MAUÁ")</f>
        <v/>
      </c>
      <c r="E184" s="259" t="inlineStr">
        <is>
          <t>CENTRO</t>
        </is>
      </c>
      <c r="F184" s="260">
        <f>INDEX('Entrada de Dados'!C$6:C$196,MATCH($C184,'Entrada de Dados'!$A$6:$A$196,0))</f>
        <v/>
      </c>
      <c r="G184" s="260">
        <f>INDEX('Entrada de Dados'!D$6:D$196,MATCH($C184,'Entrada de Dados'!$A$6:$A$196,0))</f>
        <v/>
      </c>
      <c r="H184" s="260">
        <f>INDEX('Entrada de Dados'!E$6:E$196,MATCH($C184,'Entrada de Dados'!$A$6:$A$196,0))</f>
        <v/>
      </c>
      <c r="I184" s="260">
        <f>INDEX('Entrada de Dados'!F$6:F$196,MATCH($C184,'Entrada de Dados'!$A$6:$A$196,0))</f>
        <v/>
      </c>
      <c r="J184" s="260">
        <f>INDEX('Entrada de Dados'!G$6:G$196,MATCH($C184,'Entrada de Dados'!$A$6:$A$196,0))</f>
        <v/>
      </c>
      <c r="K184" s="260">
        <f>INDEX('Entrada de Dados'!H$6:H$196,MATCH($C184,'Entrada de Dados'!$A$6:$A$196,0))</f>
        <v/>
      </c>
      <c r="L184" s="260">
        <f>INDEX('Entrada de Dados'!I$6:I$196,MATCH($C184,'Entrada de Dados'!$A$6:$A$196,0))</f>
        <v/>
      </c>
      <c r="M184" s="260">
        <f>INDEX('Entrada de Dados'!J$6:J$196,MATCH($C184,'Entrada de Dados'!$A$6:$A$196,0))</f>
        <v/>
      </c>
      <c r="N184" s="260">
        <f>INDEX('Entrada de Dados'!K$6:K$196,MATCH($C184,'Entrada de Dados'!$A$6:$A$196,0))</f>
        <v/>
      </c>
      <c r="O184" s="260">
        <f>INDEX('Entrada de Dados'!L$6:L$196,MATCH($C184,'Entrada de Dados'!$A$6:$A$196,0))</f>
        <v/>
      </c>
      <c r="P184" s="260">
        <f>INDEX('Entrada de Dados'!M$6:M$196,MATCH($C184,'Entrada de Dados'!$A$6:$A$196,0))</f>
        <v/>
      </c>
      <c r="Q184" s="260">
        <f>INDEX('Entrada de Dados'!N$6:N$196,MATCH($C184,'Entrada de Dados'!$A$6:$A$196,0))</f>
        <v/>
      </c>
      <c r="R184" s="260">
        <f>INDEX('Entrada de Dados'!O$6:O$196,MATCH($C184,'Entrada de Dados'!$A$6:$A$196,0))</f>
        <v/>
      </c>
      <c r="S184" s="260">
        <f>INDEX('Entrada de Dados'!P$6:P$196,MATCH($C184,'Entrada de Dados'!$A$6:$A$196,0))</f>
        <v/>
      </c>
      <c r="T184" s="260">
        <f>INDEX('Entrada de Dados'!Q$6:Q$196,MATCH($C184,'Entrada de Dados'!$A$6:$A$196,0))</f>
        <v/>
      </c>
      <c r="U184" s="260">
        <f>INDEX('Entrada de Dados'!R$6:R$196,MATCH($C184,'Entrada de Dados'!$A$6:$A$196,0))</f>
        <v/>
      </c>
      <c r="V184" s="260">
        <f>INDEX('Entrada de Dados'!S$6:S$196,MATCH($C184,'Entrada de Dados'!$A$6:$A$196,0))</f>
        <v/>
      </c>
      <c r="W184" s="260">
        <f>INDEX('Entrada de Dados'!T$6:T$196,MATCH($C184,'Entrada de Dados'!$A$6:$A$196,0))</f>
        <v/>
      </c>
      <c r="X184" s="260">
        <f>INDEX('Entrada de Dados'!U$6:U$196,MATCH($C184,'Entrada de Dados'!$A$6:$A$196,0))</f>
        <v/>
      </c>
    </row>
    <row r="185" ht="15" customHeight="1" s="163">
      <c r="A185" s="258" t="n">
        <v>4</v>
      </c>
      <c r="B185" s="258" t="n"/>
      <c r="C185" s="258" t="inlineStr">
        <is>
          <t>1021</t>
        </is>
      </c>
      <c r="D185" s="259">
        <f>HYPERLINK("#'E M ROTARY'!A1","E M ROTARY")</f>
        <v/>
      </c>
      <c r="E185" s="259" t="inlineStr">
        <is>
          <t>CENTRO</t>
        </is>
      </c>
      <c r="F185" s="260">
        <f>INDEX('Entrada de Dados'!C$6:C$196,MATCH($C185,'Entrada de Dados'!$A$6:$A$196,0))</f>
        <v/>
      </c>
      <c r="G185" s="260">
        <f>INDEX('Entrada de Dados'!D$6:D$196,MATCH($C185,'Entrada de Dados'!$A$6:$A$196,0))</f>
        <v/>
      </c>
      <c r="H185" s="260">
        <f>INDEX('Entrada de Dados'!E$6:E$196,MATCH($C185,'Entrada de Dados'!$A$6:$A$196,0))</f>
        <v/>
      </c>
      <c r="I185" s="260">
        <f>INDEX('Entrada de Dados'!F$6:F$196,MATCH($C185,'Entrada de Dados'!$A$6:$A$196,0))</f>
        <v/>
      </c>
      <c r="J185" s="260">
        <f>INDEX('Entrada de Dados'!G$6:G$196,MATCH($C185,'Entrada de Dados'!$A$6:$A$196,0))</f>
        <v/>
      </c>
      <c r="K185" s="260">
        <f>INDEX('Entrada de Dados'!H$6:H$196,MATCH($C185,'Entrada de Dados'!$A$6:$A$196,0))</f>
        <v/>
      </c>
      <c r="L185" s="260">
        <f>INDEX('Entrada de Dados'!I$6:I$196,MATCH($C185,'Entrada de Dados'!$A$6:$A$196,0))</f>
        <v/>
      </c>
      <c r="M185" s="260">
        <f>INDEX('Entrada de Dados'!J$6:J$196,MATCH($C185,'Entrada de Dados'!$A$6:$A$196,0))</f>
        <v/>
      </c>
      <c r="N185" s="260">
        <f>INDEX('Entrada de Dados'!K$6:K$196,MATCH($C185,'Entrada de Dados'!$A$6:$A$196,0))</f>
        <v/>
      </c>
      <c r="O185" s="260">
        <f>INDEX('Entrada de Dados'!L$6:L$196,MATCH($C185,'Entrada de Dados'!$A$6:$A$196,0))</f>
        <v/>
      </c>
      <c r="P185" s="260">
        <f>INDEX('Entrada de Dados'!M$6:M$196,MATCH($C185,'Entrada de Dados'!$A$6:$A$196,0))</f>
        <v/>
      </c>
      <c r="Q185" s="260">
        <f>INDEX('Entrada de Dados'!N$6:N$196,MATCH($C185,'Entrada de Dados'!$A$6:$A$196,0))</f>
        <v/>
      </c>
      <c r="R185" s="260">
        <f>INDEX('Entrada de Dados'!O$6:O$196,MATCH($C185,'Entrada de Dados'!$A$6:$A$196,0))</f>
        <v/>
      </c>
      <c r="S185" s="260">
        <f>INDEX('Entrada de Dados'!P$6:P$196,MATCH($C185,'Entrada de Dados'!$A$6:$A$196,0))</f>
        <v/>
      </c>
      <c r="T185" s="260">
        <f>INDEX('Entrada de Dados'!Q$6:Q$196,MATCH($C185,'Entrada de Dados'!$A$6:$A$196,0))</f>
        <v/>
      </c>
      <c r="U185" s="260">
        <f>INDEX('Entrada de Dados'!R$6:R$196,MATCH($C185,'Entrada de Dados'!$A$6:$A$196,0))</f>
        <v/>
      </c>
      <c r="V185" s="260">
        <f>INDEX('Entrada de Dados'!S$6:S$196,MATCH($C185,'Entrada de Dados'!$A$6:$A$196,0))</f>
        <v/>
      </c>
      <c r="W185" s="260">
        <f>INDEX('Entrada de Dados'!T$6:T$196,MATCH($C185,'Entrada de Dados'!$A$6:$A$196,0))</f>
        <v/>
      </c>
      <c r="X185" s="260">
        <f>INDEX('Entrada de Dados'!U$6:U$196,MATCH($C185,'Entrada de Dados'!$A$6:$A$196,0))</f>
        <v/>
      </c>
    </row>
    <row r="186" ht="15" customHeight="1" s="163">
      <c r="A186" s="261" t="n">
        <v>5</v>
      </c>
      <c r="B186" s="261" t="inlineStr">
        <is>
          <t>A</t>
        </is>
      </c>
      <c r="C186" s="262" t="inlineStr">
        <is>
          <t>1081</t>
        </is>
      </c>
      <c r="D186" s="263">
        <f>HYPERLINK("#'LICEU MUNICIPAL CARLOS CHAGAS F'!A1","LICEU MUNICIPAL CARLOS CHAGAS FILHO")</f>
        <v/>
      </c>
      <c r="E186" s="263" t="inlineStr">
        <is>
          <t>CENTRO</t>
        </is>
      </c>
      <c r="F186" s="264">
        <f>INDEX('Entrada de Dados'!C$6:C$196,MATCH($C186,'Entrada de Dados'!$A$6:$A$196,0))</f>
        <v/>
      </c>
      <c r="G186" s="264">
        <f>INDEX('Entrada de Dados'!D$6:D$196,MATCH($C186,'Entrada de Dados'!$A$6:$A$196,0))</f>
        <v/>
      </c>
      <c r="H186" s="264">
        <f>INDEX('Entrada de Dados'!E$6:E$196,MATCH($C186,'Entrada de Dados'!$A$6:$A$196,0))</f>
        <v/>
      </c>
      <c r="I186" s="264">
        <f>INDEX('Entrada de Dados'!F$6:F$196,MATCH($C186,'Entrada de Dados'!$A$6:$A$196,0))</f>
        <v/>
      </c>
      <c r="J186" s="264">
        <f>INDEX('Entrada de Dados'!G$6:G$196,MATCH($C186,'Entrada de Dados'!$A$6:$A$196,0))</f>
        <v/>
      </c>
      <c r="K186" s="264">
        <f>INDEX('Entrada de Dados'!H$6:H$196,MATCH($C186,'Entrada de Dados'!$A$6:$A$196,0))</f>
        <v/>
      </c>
      <c r="L186" s="264">
        <f>INDEX('Entrada de Dados'!I$6:I$196,MATCH($C186,'Entrada de Dados'!$A$6:$A$196,0))</f>
        <v/>
      </c>
      <c r="M186" s="264">
        <f>INDEX('Entrada de Dados'!J$6:J$196,MATCH($C186,'Entrada de Dados'!$A$6:$A$196,0))</f>
        <v/>
      </c>
      <c r="N186" s="264">
        <f>INDEX('Entrada de Dados'!K$6:K$196,MATCH($C186,'Entrada de Dados'!$A$6:$A$196,0))</f>
        <v/>
      </c>
      <c r="O186" s="264">
        <f>INDEX('Entrada de Dados'!L$6:L$196,MATCH($C186,'Entrada de Dados'!$A$6:$A$196,0))</f>
        <v/>
      </c>
      <c r="P186" s="264">
        <f>INDEX('Entrada de Dados'!M$6:M$196,MATCH($C186,'Entrada de Dados'!$A$6:$A$196,0))</f>
        <v/>
      </c>
      <c r="Q186" s="264">
        <f>INDEX('Entrada de Dados'!N$6:N$196,MATCH($C186,'Entrada de Dados'!$A$6:$A$196,0))</f>
        <v/>
      </c>
      <c r="R186" s="264">
        <f>INDEX('Entrada de Dados'!O$6:O$196,MATCH($C186,'Entrada de Dados'!$A$6:$A$196,0))</f>
        <v/>
      </c>
      <c r="S186" s="264">
        <f>INDEX('Entrada de Dados'!P$6:P$196,MATCH($C186,'Entrada de Dados'!$A$6:$A$196,0))</f>
        <v/>
      </c>
      <c r="T186" s="264">
        <f>INDEX('Entrada de Dados'!Q$6:Q$196,MATCH($C186,'Entrada de Dados'!$A$6:$A$196,0))</f>
        <v/>
      </c>
      <c r="U186" s="264">
        <f>INDEX('Entrada de Dados'!R$6:R$196,MATCH($C186,'Entrada de Dados'!$A$6:$A$196,0))</f>
        <v/>
      </c>
      <c r="V186" s="264">
        <f>INDEX('Entrada de Dados'!S$6:S$196,MATCH($C186,'Entrada de Dados'!$A$6:$A$196,0))</f>
        <v/>
      </c>
      <c r="W186" s="264">
        <f>INDEX('Entrada de Dados'!T$6:T$196,MATCH($C186,'Entrada de Dados'!$A$6:$A$196,0))</f>
        <v/>
      </c>
      <c r="X186" s="264">
        <f>INDEX('Entrada de Dados'!U$6:U$196,MATCH($C186,'Entrada de Dados'!$A$6:$A$196,0))</f>
        <v/>
      </c>
    </row>
    <row r="187" ht="15" customHeight="1" s="163">
      <c r="A187" s="261" t="n">
        <v>5</v>
      </c>
      <c r="B187" s="261" t="inlineStr">
        <is>
          <t>B</t>
        </is>
      </c>
      <c r="C187" s="262" t="inlineStr">
        <is>
          <t>2018</t>
        </is>
      </c>
      <c r="D187" s="263">
        <f>HYPERLINK("#'ESCOLA PAROQUIAL NOSSA SENHORA '!A1","ESCOLA PAROQUIAL NOSSA SENHORA DO CARMO")</f>
        <v/>
      </c>
      <c r="E187" s="263" t="inlineStr">
        <is>
          <t>CENTRO</t>
        </is>
      </c>
      <c r="F187" s="264">
        <f>INDEX('Entrada de Dados'!C$6:C$196,MATCH($C187,'Entrada de Dados'!$A$6:$A$196,0))</f>
        <v/>
      </c>
      <c r="G187" s="264">
        <f>INDEX('Entrada de Dados'!D$6:D$196,MATCH($C187,'Entrada de Dados'!$A$6:$A$196,0))</f>
        <v/>
      </c>
      <c r="H187" s="264">
        <f>INDEX('Entrada de Dados'!E$6:E$196,MATCH($C187,'Entrada de Dados'!$A$6:$A$196,0))</f>
        <v/>
      </c>
      <c r="I187" s="264">
        <f>INDEX('Entrada de Dados'!F$6:F$196,MATCH($C187,'Entrada de Dados'!$A$6:$A$196,0))</f>
        <v/>
      </c>
      <c r="J187" s="264">
        <f>INDEX('Entrada de Dados'!G$6:G$196,MATCH($C187,'Entrada de Dados'!$A$6:$A$196,0))</f>
        <v/>
      </c>
      <c r="K187" s="264">
        <f>INDEX('Entrada de Dados'!H$6:H$196,MATCH($C187,'Entrada de Dados'!$A$6:$A$196,0))</f>
        <v/>
      </c>
      <c r="L187" s="264">
        <f>INDEX('Entrada de Dados'!I$6:I$196,MATCH($C187,'Entrada de Dados'!$A$6:$A$196,0))</f>
        <v/>
      </c>
      <c r="M187" s="264">
        <f>INDEX('Entrada de Dados'!J$6:J$196,MATCH($C187,'Entrada de Dados'!$A$6:$A$196,0))</f>
        <v/>
      </c>
      <c r="N187" s="264">
        <f>INDEX('Entrada de Dados'!K$6:K$196,MATCH($C187,'Entrada de Dados'!$A$6:$A$196,0))</f>
        <v/>
      </c>
      <c r="O187" s="264">
        <f>INDEX('Entrada de Dados'!L$6:L$196,MATCH($C187,'Entrada de Dados'!$A$6:$A$196,0))</f>
        <v/>
      </c>
      <c r="P187" s="264">
        <f>INDEX('Entrada de Dados'!M$6:M$196,MATCH($C187,'Entrada de Dados'!$A$6:$A$196,0))</f>
        <v/>
      </c>
      <c r="Q187" s="264">
        <f>INDEX('Entrada de Dados'!N$6:N$196,MATCH($C187,'Entrada de Dados'!$A$6:$A$196,0))</f>
        <v/>
      </c>
      <c r="R187" s="264">
        <f>INDEX('Entrada de Dados'!O$6:O$196,MATCH($C187,'Entrada de Dados'!$A$6:$A$196,0))</f>
        <v/>
      </c>
      <c r="S187" s="264">
        <f>INDEX('Entrada de Dados'!P$6:P$196,MATCH($C187,'Entrada de Dados'!$A$6:$A$196,0))</f>
        <v/>
      </c>
      <c r="T187" s="264">
        <f>INDEX('Entrada de Dados'!Q$6:Q$196,MATCH($C187,'Entrada de Dados'!$A$6:$A$196,0))</f>
        <v/>
      </c>
      <c r="U187" s="264">
        <f>INDEX('Entrada de Dados'!R$6:R$196,MATCH($C187,'Entrada de Dados'!$A$6:$A$196,0))</f>
        <v/>
      </c>
      <c r="V187" s="264">
        <f>INDEX('Entrada de Dados'!S$6:S$196,MATCH($C187,'Entrada de Dados'!$A$6:$A$196,0))</f>
        <v/>
      </c>
      <c r="W187" s="264">
        <f>INDEX('Entrada de Dados'!T$6:T$196,MATCH($C187,'Entrada de Dados'!$A$6:$A$196,0))</f>
        <v/>
      </c>
      <c r="X187" s="264">
        <f>INDEX('Entrada de Dados'!U$6:U$196,MATCH($C187,'Entrada de Dados'!$A$6:$A$196,0))</f>
        <v/>
      </c>
    </row>
    <row r="188" ht="15" customHeight="1" s="163">
      <c r="A188" s="258" t="n">
        <v>6</v>
      </c>
      <c r="B188" s="258" t="n"/>
      <c r="C188" s="258" t="inlineStr">
        <is>
          <t>3068</t>
        </is>
      </c>
      <c r="D188" s="259">
        <f>HYPERLINK("#'CEI MONSENHOR PAULO ELIAS DAHER'!A1","CEI MONSENHOR PAULO ELIAS DAHER CHÉDIER")</f>
        <v/>
      </c>
      <c r="E188" s="259" t="inlineStr">
        <is>
          <t>CENTRO</t>
        </is>
      </c>
      <c r="F188" s="260">
        <f>INDEX('Entrada de Dados'!C$6:C$196,MATCH($C188,'Entrada de Dados'!$A$6:$A$196,0))</f>
        <v/>
      </c>
      <c r="G188" s="260">
        <f>INDEX('Entrada de Dados'!D$6:D$196,MATCH($C188,'Entrada de Dados'!$A$6:$A$196,0))</f>
        <v/>
      </c>
      <c r="H188" s="260">
        <f>INDEX('Entrada de Dados'!E$6:E$196,MATCH($C188,'Entrada de Dados'!$A$6:$A$196,0))</f>
        <v/>
      </c>
      <c r="I188" s="260">
        <f>INDEX('Entrada de Dados'!F$6:F$196,MATCH($C188,'Entrada de Dados'!$A$6:$A$196,0))</f>
        <v/>
      </c>
      <c r="J188" s="260">
        <f>INDEX('Entrada de Dados'!G$6:G$196,MATCH($C188,'Entrada de Dados'!$A$6:$A$196,0))</f>
        <v/>
      </c>
      <c r="K188" s="260">
        <f>INDEX('Entrada de Dados'!H$6:H$196,MATCH($C188,'Entrada de Dados'!$A$6:$A$196,0))</f>
        <v/>
      </c>
      <c r="L188" s="260">
        <f>INDEX('Entrada de Dados'!I$6:I$196,MATCH($C188,'Entrada de Dados'!$A$6:$A$196,0))</f>
        <v/>
      </c>
      <c r="M188" s="260">
        <f>INDEX('Entrada de Dados'!J$6:J$196,MATCH($C188,'Entrada de Dados'!$A$6:$A$196,0))</f>
        <v/>
      </c>
      <c r="N188" s="260">
        <f>INDEX('Entrada de Dados'!K$6:K$196,MATCH($C188,'Entrada de Dados'!$A$6:$A$196,0))</f>
        <v/>
      </c>
      <c r="O188" s="260">
        <f>INDEX('Entrada de Dados'!L$6:L$196,MATCH($C188,'Entrada de Dados'!$A$6:$A$196,0))</f>
        <v/>
      </c>
      <c r="P188" s="260">
        <f>INDEX('Entrada de Dados'!M$6:M$196,MATCH($C188,'Entrada de Dados'!$A$6:$A$196,0))</f>
        <v/>
      </c>
      <c r="Q188" s="260">
        <f>INDEX('Entrada de Dados'!N$6:N$196,MATCH($C188,'Entrada de Dados'!$A$6:$A$196,0))</f>
        <v/>
      </c>
      <c r="R188" s="260">
        <f>INDEX('Entrada de Dados'!O$6:O$196,MATCH($C188,'Entrada de Dados'!$A$6:$A$196,0))</f>
        <v/>
      </c>
      <c r="S188" s="260">
        <f>INDEX('Entrada de Dados'!P$6:P$196,MATCH($C188,'Entrada de Dados'!$A$6:$A$196,0))</f>
        <v/>
      </c>
      <c r="T188" s="260">
        <f>INDEX('Entrada de Dados'!Q$6:Q$196,MATCH($C188,'Entrada de Dados'!$A$6:$A$196,0))</f>
        <v/>
      </c>
      <c r="U188" s="260">
        <f>INDEX('Entrada de Dados'!R$6:R$196,MATCH($C188,'Entrada de Dados'!$A$6:$A$196,0))</f>
        <v/>
      </c>
      <c r="V188" s="260">
        <f>INDEX('Entrada de Dados'!S$6:S$196,MATCH($C188,'Entrada de Dados'!$A$6:$A$196,0))</f>
        <v/>
      </c>
      <c r="W188" s="260">
        <f>INDEX('Entrada de Dados'!T$6:T$196,MATCH($C188,'Entrada de Dados'!$A$6:$A$196,0))</f>
        <v/>
      </c>
      <c r="X188" s="260">
        <f>INDEX('Entrada de Dados'!U$6:U$196,MATCH($C188,'Entrada de Dados'!$A$6:$A$196,0))</f>
        <v/>
      </c>
    </row>
    <row r="189" ht="15" customHeight="1" s="163">
      <c r="A189" s="258" t="n">
        <v>7</v>
      </c>
      <c r="B189" s="258" t="n"/>
      <c r="C189" s="258" t="inlineStr">
        <is>
          <t>1108</t>
        </is>
      </c>
      <c r="D189" s="259">
        <f>HYPERLINK("#'E M PAULO FREIRE'!A1","E M PAULO FREIRE")</f>
        <v/>
      </c>
      <c r="E189" s="259" t="inlineStr">
        <is>
          <t>CENTRO</t>
        </is>
      </c>
      <c r="F189" s="260">
        <f>INDEX('Entrada de Dados'!C$6:C$196,MATCH($C189,'Entrada de Dados'!$A$6:$A$196,0))</f>
        <v/>
      </c>
      <c r="G189" s="260">
        <f>INDEX('Entrada de Dados'!D$6:D$196,MATCH($C189,'Entrada de Dados'!$A$6:$A$196,0))</f>
        <v/>
      </c>
      <c r="H189" s="260">
        <f>INDEX('Entrada de Dados'!E$6:E$196,MATCH($C189,'Entrada de Dados'!$A$6:$A$196,0))</f>
        <v/>
      </c>
      <c r="I189" s="260">
        <f>INDEX('Entrada de Dados'!F$6:F$196,MATCH($C189,'Entrada de Dados'!$A$6:$A$196,0))</f>
        <v/>
      </c>
      <c r="J189" s="260">
        <f>INDEX('Entrada de Dados'!G$6:G$196,MATCH($C189,'Entrada de Dados'!$A$6:$A$196,0))</f>
        <v/>
      </c>
      <c r="K189" s="260">
        <f>INDEX('Entrada de Dados'!H$6:H$196,MATCH($C189,'Entrada de Dados'!$A$6:$A$196,0))</f>
        <v/>
      </c>
      <c r="L189" s="260">
        <f>INDEX('Entrada de Dados'!I$6:I$196,MATCH($C189,'Entrada de Dados'!$A$6:$A$196,0))</f>
        <v/>
      </c>
      <c r="M189" s="260">
        <f>INDEX('Entrada de Dados'!J$6:J$196,MATCH($C189,'Entrada de Dados'!$A$6:$A$196,0))</f>
        <v/>
      </c>
      <c r="N189" s="260">
        <f>INDEX('Entrada de Dados'!K$6:K$196,MATCH($C189,'Entrada de Dados'!$A$6:$A$196,0))</f>
        <v/>
      </c>
      <c r="O189" s="260">
        <f>INDEX('Entrada de Dados'!L$6:L$196,MATCH($C189,'Entrada de Dados'!$A$6:$A$196,0))</f>
        <v/>
      </c>
      <c r="P189" s="260">
        <f>INDEX('Entrada de Dados'!M$6:M$196,MATCH($C189,'Entrada de Dados'!$A$6:$A$196,0))</f>
        <v/>
      </c>
      <c r="Q189" s="260">
        <f>INDEX('Entrada de Dados'!N$6:N$196,MATCH($C189,'Entrada de Dados'!$A$6:$A$196,0))</f>
        <v/>
      </c>
      <c r="R189" s="260">
        <f>INDEX('Entrada de Dados'!O$6:O$196,MATCH($C189,'Entrada de Dados'!$A$6:$A$196,0))</f>
        <v/>
      </c>
      <c r="S189" s="260">
        <f>INDEX('Entrada de Dados'!P$6:P$196,MATCH($C189,'Entrada de Dados'!$A$6:$A$196,0))</f>
        <v/>
      </c>
      <c r="T189" s="260">
        <f>INDEX('Entrada de Dados'!Q$6:Q$196,MATCH($C189,'Entrada de Dados'!$A$6:$A$196,0))</f>
        <v/>
      </c>
      <c r="U189" s="260">
        <f>INDEX('Entrada de Dados'!R$6:R$196,MATCH($C189,'Entrada de Dados'!$A$6:$A$196,0))</f>
        <v/>
      </c>
      <c r="V189" s="260">
        <f>INDEX('Entrada de Dados'!S$6:S$196,MATCH($C189,'Entrada de Dados'!$A$6:$A$196,0))</f>
        <v/>
      </c>
      <c r="W189" s="260">
        <f>INDEX('Entrada de Dados'!T$6:T$196,MATCH($C189,'Entrada de Dados'!$A$6:$A$196,0))</f>
        <v/>
      </c>
      <c r="X189" s="260">
        <f>INDEX('Entrada de Dados'!U$6:U$196,MATCH($C189,'Entrada de Dados'!$A$6:$A$196,0))</f>
        <v/>
      </c>
    </row>
    <row r="190" ht="15" customHeight="1" s="163">
      <c r="A190" s="258" t="n">
        <v>8</v>
      </c>
      <c r="B190" s="258" t="n"/>
      <c r="C190" s="258" t="inlineStr">
        <is>
          <t>3052</t>
        </is>
      </c>
      <c r="D190" s="259">
        <f>HYPERLINK("#'CEI PRIMEIRA INFÂNCIA'!A1","CEI PRIMEIRA INFÂNCIA")</f>
        <v/>
      </c>
      <c r="E190" s="259" t="inlineStr">
        <is>
          <t>CENTRO</t>
        </is>
      </c>
      <c r="F190" s="260">
        <f>INDEX('Entrada de Dados'!C$6:C$196,MATCH($C190,'Entrada de Dados'!$A$6:$A$196,0))</f>
        <v/>
      </c>
      <c r="G190" s="260">
        <f>INDEX('Entrada de Dados'!D$6:D$196,MATCH($C190,'Entrada de Dados'!$A$6:$A$196,0))</f>
        <v/>
      </c>
      <c r="H190" s="260">
        <f>INDEX('Entrada de Dados'!E$6:E$196,MATCH($C190,'Entrada de Dados'!$A$6:$A$196,0))</f>
        <v/>
      </c>
      <c r="I190" s="260">
        <f>INDEX('Entrada de Dados'!F$6:F$196,MATCH($C190,'Entrada de Dados'!$A$6:$A$196,0))</f>
        <v/>
      </c>
      <c r="J190" s="260">
        <f>INDEX('Entrada de Dados'!G$6:G$196,MATCH($C190,'Entrada de Dados'!$A$6:$A$196,0))</f>
        <v/>
      </c>
      <c r="K190" s="260">
        <f>INDEX('Entrada de Dados'!H$6:H$196,MATCH($C190,'Entrada de Dados'!$A$6:$A$196,0))</f>
        <v/>
      </c>
      <c r="L190" s="260">
        <f>INDEX('Entrada de Dados'!I$6:I$196,MATCH($C190,'Entrada de Dados'!$A$6:$A$196,0))</f>
        <v/>
      </c>
      <c r="M190" s="260">
        <f>INDEX('Entrada de Dados'!J$6:J$196,MATCH($C190,'Entrada de Dados'!$A$6:$A$196,0))</f>
        <v/>
      </c>
      <c r="N190" s="260">
        <f>INDEX('Entrada de Dados'!K$6:K$196,MATCH($C190,'Entrada de Dados'!$A$6:$A$196,0))</f>
        <v/>
      </c>
      <c r="O190" s="260">
        <f>INDEX('Entrada de Dados'!L$6:L$196,MATCH($C190,'Entrada de Dados'!$A$6:$A$196,0))</f>
        <v/>
      </c>
      <c r="P190" s="260">
        <f>INDEX('Entrada de Dados'!M$6:M$196,MATCH($C190,'Entrada de Dados'!$A$6:$A$196,0))</f>
        <v/>
      </c>
      <c r="Q190" s="260">
        <f>INDEX('Entrada de Dados'!N$6:N$196,MATCH($C190,'Entrada de Dados'!$A$6:$A$196,0))</f>
        <v/>
      </c>
      <c r="R190" s="260">
        <f>INDEX('Entrada de Dados'!O$6:O$196,MATCH($C190,'Entrada de Dados'!$A$6:$A$196,0))</f>
        <v/>
      </c>
      <c r="S190" s="260">
        <f>INDEX('Entrada de Dados'!P$6:P$196,MATCH($C190,'Entrada de Dados'!$A$6:$A$196,0))</f>
        <v/>
      </c>
      <c r="T190" s="260">
        <f>INDEX('Entrada de Dados'!Q$6:Q$196,MATCH($C190,'Entrada de Dados'!$A$6:$A$196,0))</f>
        <v/>
      </c>
      <c r="U190" s="260">
        <f>INDEX('Entrada de Dados'!R$6:R$196,MATCH($C190,'Entrada de Dados'!$A$6:$A$196,0))</f>
        <v/>
      </c>
      <c r="V190" s="260">
        <f>INDEX('Entrada de Dados'!S$6:S$196,MATCH($C190,'Entrada de Dados'!$A$6:$A$196,0))</f>
        <v/>
      </c>
      <c r="W190" s="260">
        <f>INDEX('Entrada de Dados'!T$6:T$196,MATCH($C190,'Entrada de Dados'!$A$6:$A$196,0))</f>
        <v/>
      </c>
      <c r="X190" s="260">
        <f>INDEX('Entrada de Dados'!U$6:U$196,MATCH($C190,'Entrada de Dados'!$A$6:$A$196,0))</f>
        <v/>
      </c>
    </row>
    <row r="191" ht="15" customHeight="1" s="163">
      <c r="A191" s="258" t="n">
        <v>9</v>
      </c>
      <c r="B191" s="258" t="n"/>
      <c r="C191" s="258" t="inlineStr">
        <is>
          <t>1120</t>
        </is>
      </c>
      <c r="D191" s="259">
        <f>HYPERLINK("#'ESCOLA SANTA LUIZA DE MARILLAC'!A1","ESCOLA SANTA LUIZA DE MARILLAC")</f>
        <v/>
      </c>
      <c r="E191" s="259" t="inlineStr">
        <is>
          <t>CENTRO</t>
        </is>
      </c>
      <c r="F191" s="260">
        <f>INDEX('Entrada de Dados'!C$6:C$196,MATCH($C191,'Entrada de Dados'!$A$6:$A$196,0))</f>
        <v/>
      </c>
      <c r="G191" s="260">
        <f>INDEX('Entrada de Dados'!D$6:D$196,MATCH($C191,'Entrada de Dados'!$A$6:$A$196,0))</f>
        <v/>
      </c>
      <c r="H191" s="260">
        <f>INDEX('Entrada de Dados'!E$6:E$196,MATCH($C191,'Entrada de Dados'!$A$6:$A$196,0))</f>
        <v/>
      </c>
      <c r="I191" s="260">
        <f>INDEX('Entrada de Dados'!F$6:F$196,MATCH($C191,'Entrada de Dados'!$A$6:$A$196,0))</f>
        <v/>
      </c>
      <c r="J191" s="260">
        <f>INDEX('Entrada de Dados'!G$6:G$196,MATCH($C191,'Entrada de Dados'!$A$6:$A$196,0))</f>
        <v/>
      </c>
      <c r="K191" s="260">
        <f>INDEX('Entrada de Dados'!H$6:H$196,MATCH($C191,'Entrada de Dados'!$A$6:$A$196,0))</f>
        <v/>
      </c>
      <c r="L191" s="260">
        <f>INDEX('Entrada de Dados'!I$6:I$196,MATCH($C191,'Entrada de Dados'!$A$6:$A$196,0))</f>
        <v/>
      </c>
      <c r="M191" s="260">
        <f>INDEX('Entrada de Dados'!J$6:J$196,MATCH($C191,'Entrada de Dados'!$A$6:$A$196,0))</f>
        <v/>
      </c>
      <c r="N191" s="260">
        <f>INDEX('Entrada de Dados'!K$6:K$196,MATCH($C191,'Entrada de Dados'!$A$6:$A$196,0))</f>
        <v/>
      </c>
      <c r="O191" s="260">
        <f>INDEX('Entrada de Dados'!L$6:L$196,MATCH($C191,'Entrada de Dados'!$A$6:$A$196,0))</f>
        <v/>
      </c>
      <c r="P191" s="260">
        <f>INDEX('Entrada de Dados'!M$6:M$196,MATCH($C191,'Entrada de Dados'!$A$6:$A$196,0))</f>
        <v/>
      </c>
      <c r="Q191" s="260">
        <f>INDEX('Entrada de Dados'!N$6:N$196,MATCH($C191,'Entrada de Dados'!$A$6:$A$196,0))</f>
        <v/>
      </c>
      <c r="R191" s="260">
        <f>INDEX('Entrada de Dados'!O$6:O$196,MATCH($C191,'Entrada de Dados'!$A$6:$A$196,0))</f>
        <v/>
      </c>
      <c r="S191" s="260">
        <f>INDEX('Entrada de Dados'!P$6:P$196,MATCH($C191,'Entrada de Dados'!$A$6:$A$196,0))</f>
        <v/>
      </c>
      <c r="T191" s="260">
        <f>INDEX('Entrada de Dados'!Q$6:Q$196,MATCH($C191,'Entrada de Dados'!$A$6:$A$196,0))</f>
        <v/>
      </c>
      <c r="U191" s="260">
        <f>INDEX('Entrada de Dados'!R$6:R$196,MATCH($C191,'Entrada de Dados'!$A$6:$A$196,0))</f>
        <v/>
      </c>
      <c r="V191" s="260">
        <f>INDEX('Entrada de Dados'!S$6:S$196,MATCH($C191,'Entrada de Dados'!$A$6:$A$196,0))</f>
        <v/>
      </c>
      <c r="W191" s="260">
        <f>INDEX('Entrada de Dados'!T$6:T$196,MATCH($C191,'Entrada de Dados'!$A$6:$A$196,0))</f>
        <v/>
      </c>
      <c r="X191" s="260">
        <f>INDEX('Entrada de Dados'!U$6:U$196,MATCH($C191,'Entrada de Dados'!$A$6:$A$196,0))</f>
        <v/>
      </c>
    </row>
    <row r="192" ht="15" customHeight="1" s="163">
      <c r="A192" s="258" t="n">
        <v>10</v>
      </c>
      <c r="B192" s="258" t="n"/>
      <c r="C192" s="258" t="inlineStr">
        <is>
          <t>1109</t>
        </is>
      </c>
      <c r="D192" s="259">
        <f>HYPERLINK("#'E M PROFª MARIA CAMPOS DA SILVA'!A1","E M PROFª MARIA CAMPOS DA SILVA")</f>
        <v/>
      </c>
      <c r="E192" s="259" t="inlineStr">
        <is>
          <t>CENTRO</t>
        </is>
      </c>
      <c r="F192" s="260">
        <f>INDEX('Entrada de Dados'!C$6:C$196,MATCH($C192,'Entrada de Dados'!$A$6:$A$196,0))</f>
        <v/>
      </c>
      <c r="G192" s="260">
        <f>INDEX('Entrada de Dados'!D$6:D$196,MATCH($C192,'Entrada de Dados'!$A$6:$A$196,0))</f>
        <v/>
      </c>
      <c r="H192" s="260">
        <f>INDEX('Entrada de Dados'!E$6:E$196,MATCH($C192,'Entrada de Dados'!$A$6:$A$196,0))</f>
        <v/>
      </c>
      <c r="I192" s="260">
        <f>INDEX('Entrada de Dados'!F$6:F$196,MATCH($C192,'Entrada de Dados'!$A$6:$A$196,0))</f>
        <v/>
      </c>
      <c r="J192" s="260">
        <f>INDEX('Entrada de Dados'!G$6:G$196,MATCH($C192,'Entrada de Dados'!$A$6:$A$196,0))</f>
        <v/>
      </c>
      <c r="K192" s="260">
        <f>INDEX('Entrada de Dados'!H$6:H$196,MATCH($C192,'Entrada de Dados'!$A$6:$A$196,0))</f>
        <v/>
      </c>
      <c r="L192" s="260">
        <f>INDEX('Entrada de Dados'!I$6:I$196,MATCH($C192,'Entrada de Dados'!$A$6:$A$196,0))</f>
        <v/>
      </c>
      <c r="M192" s="260">
        <f>INDEX('Entrada de Dados'!J$6:J$196,MATCH($C192,'Entrada de Dados'!$A$6:$A$196,0))</f>
        <v/>
      </c>
      <c r="N192" s="260">
        <f>INDEX('Entrada de Dados'!K$6:K$196,MATCH($C192,'Entrada de Dados'!$A$6:$A$196,0))</f>
        <v/>
      </c>
      <c r="O192" s="260">
        <f>INDEX('Entrada de Dados'!L$6:L$196,MATCH($C192,'Entrada de Dados'!$A$6:$A$196,0))</f>
        <v/>
      </c>
      <c r="P192" s="260">
        <f>INDEX('Entrada de Dados'!M$6:M$196,MATCH($C192,'Entrada de Dados'!$A$6:$A$196,0))</f>
        <v/>
      </c>
      <c r="Q192" s="260">
        <f>INDEX('Entrada de Dados'!N$6:N$196,MATCH($C192,'Entrada de Dados'!$A$6:$A$196,0))</f>
        <v/>
      </c>
      <c r="R192" s="260">
        <f>INDEX('Entrada de Dados'!O$6:O$196,MATCH($C192,'Entrada de Dados'!$A$6:$A$196,0))</f>
        <v/>
      </c>
      <c r="S192" s="260">
        <f>INDEX('Entrada de Dados'!P$6:P$196,MATCH($C192,'Entrada de Dados'!$A$6:$A$196,0))</f>
        <v/>
      </c>
      <c r="T192" s="260">
        <f>INDEX('Entrada de Dados'!Q$6:Q$196,MATCH($C192,'Entrada de Dados'!$A$6:$A$196,0))</f>
        <v/>
      </c>
      <c r="U192" s="260">
        <f>INDEX('Entrada de Dados'!R$6:R$196,MATCH($C192,'Entrada de Dados'!$A$6:$A$196,0))</f>
        <v/>
      </c>
      <c r="V192" s="260">
        <f>INDEX('Entrada de Dados'!S$6:S$196,MATCH($C192,'Entrada de Dados'!$A$6:$A$196,0))</f>
        <v/>
      </c>
      <c r="W192" s="260">
        <f>INDEX('Entrada de Dados'!T$6:T$196,MATCH($C192,'Entrada de Dados'!$A$6:$A$196,0))</f>
        <v/>
      </c>
      <c r="X192" s="260">
        <f>INDEX('Entrada de Dados'!U$6:U$196,MATCH($C192,'Entrada de Dados'!$A$6:$A$196,0))</f>
        <v/>
      </c>
    </row>
    <row r="193" ht="15" customHeight="1" s="163">
      <c r="A193" s="258" t="n">
        <v>11</v>
      </c>
      <c r="B193" s="258" t="n"/>
      <c r="C193" s="258" t="inlineStr">
        <is>
          <t>1115</t>
        </is>
      </c>
      <c r="D193" s="259">
        <f>HYPERLINK("#'CENTRO DE REFERÊNCIA EM EDUCAÇÃ'!A1","CENTRO DE REFERÊNCIA EM EDUCAÇÃO INCLUSIVA JOÃO PEDRO DE SOUZA ROSA")</f>
        <v/>
      </c>
      <c r="E193" s="259" t="inlineStr">
        <is>
          <t>CENTRO</t>
        </is>
      </c>
      <c r="F193" s="260">
        <f>INDEX('Entrada de Dados'!C$6:C$196,MATCH($C193,'Entrada de Dados'!$A$6:$A$196,0))</f>
        <v/>
      </c>
      <c r="G193" s="260">
        <f>INDEX('Entrada de Dados'!D$6:D$196,MATCH($C193,'Entrada de Dados'!$A$6:$A$196,0))</f>
        <v/>
      </c>
      <c r="H193" s="260">
        <f>INDEX('Entrada de Dados'!E$6:E$196,MATCH($C193,'Entrada de Dados'!$A$6:$A$196,0))</f>
        <v/>
      </c>
      <c r="I193" s="260">
        <f>INDEX('Entrada de Dados'!F$6:F$196,MATCH($C193,'Entrada de Dados'!$A$6:$A$196,0))</f>
        <v/>
      </c>
      <c r="J193" s="260">
        <f>INDEX('Entrada de Dados'!G$6:G$196,MATCH($C193,'Entrada de Dados'!$A$6:$A$196,0))</f>
        <v/>
      </c>
      <c r="K193" s="260">
        <f>INDEX('Entrada de Dados'!H$6:H$196,MATCH($C193,'Entrada de Dados'!$A$6:$A$196,0))</f>
        <v/>
      </c>
      <c r="L193" s="260">
        <f>INDEX('Entrada de Dados'!I$6:I$196,MATCH($C193,'Entrada de Dados'!$A$6:$A$196,0))</f>
        <v/>
      </c>
      <c r="M193" s="260">
        <f>INDEX('Entrada de Dados'!J$6:J$196,MATCH($C193,'Entrada de Dados'!$A$6:$A$196,0))</f>
        <v/>
      </c>
      <c r="N193" s="260">
        <f>INDEX('Entrada de Dados'!K$6:K$196,MATCH($C193,'Entrada de Dados'!$A$6:$A$196,0))</f>
        <v/>
      </c>
      <c r="O193" s="260">
        <f>INDEX('Entrada de Dados'!L$6:L$196,MATCH($C193,'Entrada de Dados'!$A$6:$A$196,0))</f>
        <v/>
      </c>
      <c r="P193" s="260">
        <f>INDEX('Entrada de Dados'!M$6:M$196,MATCH($C193,'Entrada de Dados'!$A$6:$A$196,0))</f>
        <v/>
      </c>
      <c r="Q193" s="260">
        <f>INDEX('Entrada de Dados'!N$6:N$196,MATCH($C193,'Entrada de Dados'!$A$6:$A$196,0))</f>
        <v/>
      </c>
      <c r="R193" s="260">
        <f>INDEX('Entrada de Dados'!O$6:O$196,MATCH($C193,'Entrada de Dados'!$A$6:$A$196,0))</f>
        <v/>
      </c>
      <c r="S193" s="260">
        <f>INDEX('Entrada de Dados'!P$6:P$196,MATCH($C193,'Entrada de Dados'!$A$6:$A$196,0))</f>
        <v/>
      </c>
      <c r="T193" s="260">
        <f>INDEX('Entrada de Dados'!Q$6:Q$196,MATCH($C193,'Entrada de Dados'!$A$6:$A$196,0))</f>
        <v/>
      </c>
      <c r="U193" s="260">
        <f>INDEX('Entrada de Dados'!R$6:R$196,MATCH($C193,'Entrada de Dados'!$A$6:$A$196,0))</f>
        <v/>
      </c>
      <c r="V193" s="260">
        <f>INDEX('Entrada de Dados'!S$6:S$196,MATCH($C193,'Entrada de Dados'!$A$6:$A$196,0))</f>
        <v/>
      </c>
      <c r="W193" s="260">
        <f>INDEX('Entrada de Dados'!T$6:T$196,MATCH($C193,'Entrada de Dados'!$A$6:$A$196,0))</f>
        <v/>
      </c>
      <c r="X193" s="260">
        <f>INDEX('Entrada de Dados'!U$6:U$196,MATCH($C193,'Entrada de Dados'!$A$6:$A$196,0))</f>
        <v/>
      </c>
    </row>
    <row r="194" ht="15" customHeight="1" s="163">
      <c r="A194" s="258" t="n">
        <v>12</v>
      </c>
      <c r="B194" s="258" t="n"/>
      <c r="C194" s="258" t="inlineStr">
        <is>
          <t>1080</t>
        </is>
      </c>
      <c r="D194" s="259">
        <f>HYPERLINK("#'E M PREFEITO JAMIL SABRÁ'!A1","E M PREFEITO JAMIL SABRÁ")</f>
        <v/>
      </c>
      <c r="E194" s="259" t="inlineStr">
        <is>
          <t>CENTRO</t>
        </is>
      </c>
      <c r="F194" s="260">
        <f>INDEX('Entrada de Dados'!C$6:C$196,MATCH($C194,'Entrada de Dados'!$A$6:$A$196,0))</f>
        <v/>
      </c>
      <c r="G194" s="260">
        <f>INDEX('Entrada de Dados'!D$6:D$196,MATCH($C194,'Entrada de Dados'!$A$6:$A$196,0))</f>
        <v/>
      </c>
      <c r="H194" s="260">
        <f>INDEX('Entrada de Dados'!E$6:E$196,MATCH($C194,'Entrada de Dados'!$A$6:$A$196,0))</f>
        <v/>
      </c>
      <c r="I194" s="260">
        <f>INDEX('Entrada de Dados'!F$6:F$196,MATCH($C194,'Entrada de Dados'!$A$6:$A$196,0))</f>
        <v/>
      </c>
      <c r="J194" s="260">
        <f>INDEX('Entrada de Dados'!G$6:G$196,MATCH($C194,'Entrada de Dados'!$A$6:$A$196,0))</f>
        <v/>
      </c>
      <c r="K194" s="260">
        <f>INDEX('Entrada de Dados'!H$6:H$196,MATCH($C194,'Entrada de Dados'!$A$6:$A$196,0))</f>
        <v/>
      </c>
      <c r="L194" s="260">
        <f>INDEX('Entrada de Dados'!I$6:I$196,MATCH($C194,'Entrada de Dados'!$A$6:$A$196,0))</f>
        <v/>
      </c>
      <c r="M194" s="260">
        <f>INDEX('Entrada de Dados'!J$6:J$196,MATCH($C194,'Entrada de Dados'!$A$6:$A$196,0))</f>
        <v/>
      </c>
      <c r="N194" s="260">
        <f>INDEX('Entrada de Dados'!K$6:K$196,MATCH($C194,'Entrada de Dados'!$A$6:$A$196,0))</f>
        <v/>
      </c>
      <c r="O194" s="260">
        <f>INDEX('Entrada de Dados'!L$6:L$196,MATCH($C194,'Entrada de Dados'!$A$6:$A$196,0))</f>
        <v/>
      </c>
      <c r="P194" s="260">
        <f>INDEX('Entrada de Dados'!M$6:M$196,MATCH($C194,'Entrada de Dados'!$A$6:$A$196,0))</f>
        <v/>
      </c>
      <c r="Q194" s="260">
        <f>INDEX('Entrada de Dados'!N$6:N$196,MATCH($C194,'Entrada de Dados'!$A$6:$A$196,0))</f>
        <v/>
      </c>
      <c r="R194" s="260">
        <f>INDEX('Entrada de Dados'!O$6:O$196,MATCH($C194,'Entrada de Dados'!$A$6:$A$196,0))</f>
        <v/>
      </c>
      <c r="S194" s="260">
        <f>INDEX('Entrada de Dados'!P$6:P$196,MATCH($C194,'Entrada de Dados'!$A$6:$A$196,0))</f>
        <v/>
      </c>
      <c r="T194" s="260">
        <f>INDEX('Entrada de Dados'!Q$6:Q$196,MATCH($C194,'Entrada de Dados'!$A$6:$A$196,0))</f>
        <v/>
      </c>
      <c r="U194" s="260">
        <f>INDEX('Entrada de Dados'!R$6:R$196,MATCH($C194,'Entrada de Dados'!$A$6:$A$196,0))</f>
        <v/>
      </c>
      <c r="V194" s="260">
        <f>INDEX('Entrada de Dados'!S$6:S$196,MATCH($C194,'Entrada de Dados'!$A$6:$A$196,0))</f>
        <v/>
      </c>
      <c r="W194" s="260">
        <f>INDEX('Entrada de Dados'!T$6:T$196,MATCH($C194,'Entrada de Dados'!$A$6:$A$196,0))</f>
        <v/>
      </c>
      <c r="X194" s="260">
        <f>INDEX('Entrada de Dados'!U$6:U$196,MATCH($C194,'Entrada de Dados'!$A$6:$A$196,0))</f>
        <v/>
      </c>
    </row>
    <row r="195" ht="15" customHeight="1" s="163">
      <c r="A195" s="258" t="n">
        <v>13</v>
      </c>
      <c r="B195" s="258" t="n"/>
      <c r="C195" s="258" t="inlineStr">
        <is>
          <t>2019</t>
        </is>
      </c>
      <c r="D195" s="259">
        <f>HYPERLINK("#'ESCOLA PAROQUIAL SÃO PEDRO DE A'!A1","ESCOLA PAROQUIAL SÃO PEDRO DE ALCÂNTARA")</f>
        <v/>
      </c>
      <c r="E195" s="259" t="inlineStr">
        <is>
          <t>CENTRO</t>
        </is>
      </c>
      <c r="F195" s="260">
        <f>INDEX('Entrada de Dados'!C$6:C$196,MATCH($C195,'Entrada de Dados'!$A$6:$A$196,0))</f>
        <v/>
      </c>
      <c r="G195" s="260">
        <f>INDEX('Entrada de Dados'!D$6:D$196,MATCH($C195,'Entrada de Dados'!$A$6:$A$196,0))</f>
        <v/>
      </c>
      <c r="H195" s="260">
        <f>INDEX('Entrada de Dados'!E$6:E$196,MATCH($C195,'Entrada de Dados'!$A$6:$A$196,0))</f>
        <v/>
      </c>
      <c r="I195" s="260">
        <f>INDEX('Entrada de Dados'!F$6:F$196,MATCH($C195,'Entrada de Dados'!$A$6:$A$196,0))</f>
        <v/>
      </c>
      <c r="J195" s="260">
        <f>INDEX('Entrada de Dados'!G$6:G$196,MATCH($C195,'Entrada de Dados'!$A$6:$A$196,0))</f>
        <v/>
      </c>
      <c r="K195" s="260">
        <f>INDEX('Entrada de Dados'!H$6:H$196,MATCH($C195,'Entrada de Dados'!$A$6:$A$196,0))</f>
        <v/>
      </c>
      <c r="L195" s="260">
        <f>INDEX('Entrada de Dados'!I$6:I$196,MATCH($C195,'Entrada de Dados'!$A$6:$A$196,0))</f>
        <v/>
      </c>
      <c r="M195" s="260">
        <f>INDEX('Entrada de Dados'!J$6:J$196,MATCH($C195,'Entrada de Dados'!$A$6:$A$196,0))</f>
        <v/>
      </c>
      <c r="N195" s="260">
        <f>INDEX('Entrada de Dados'!K$6:K$196,MATCH($C195,'Entrada de Dados'!$A$6:$A$196,0))</f>
        <v/>
      </c>
      <c r="O195" s="260">
        <f>INDEX('Entrada de Dados'!L$6:L$196,MATCH($C195,'Entrada de Dados'!$A$6:$A$196,0))</f>
        <v/>
      </c>
      <c r="P195" s="260">
        <f>INDEX('Entrada de Dados'!M$6:M$196,MATCH($C195,'Entrada de Dados'!$A$6:$A$196,0))</f>
        <v/>
      </c>
      <c r="Q195" s="260">
        <f>INDEX('Entrada de Dados'!N$6:N$196,MATCH($C195,'Entrada de Dados'!$A$6:$A$196,0))</f>
        <v/>
      </c>
      <c r="R195" s="260">
        <f>INDEX('Entrada de Dados'!O$6:O$196,MATCH($C195,'Entrada de Dados'!$A$6:$A$196,0))</f>
        <v/>
      </c>
      <c r="S195" s="260">
        <f>INDEX('Entrada de Dados'!P$6:P$196,MATCH($C195,'Entrada de Dados'!$A$6:$A$196,0))</f>
        <v/>
      </c>
      <c r="T195" s="260">
        <f>INDEX('Entrada de Dados'!Q$6:Q$196,MATCH($C195,'Entrada de Dados'!$A$6:$A$196,0))</f>
        <v/>
      </c>
      <c r="U195" s="260">
        <f>INDEX('Entrada de Dados'!R$6:R$196,MATCH($C195,'Entrada de Dados'!$A$6:$A$196,0))</f>
        <v/>
      </c>
      <c r="V195" s="260">
        <f>INDEX('Entrada de Dados'!S$6:S$196,MATCH($C195,'Entrada de Dados'!$A$6:$A$196,0))</f>
        <v/>
      </c>
      <c r="W195" s="260">
        <f>INDEX('Entrada de Dados'!T$6:T$196,MATCH($C195,'Entrada de Dados'!$A$6:$A$196,0))</f>
        <v/>
      </c>
      <c r="X195" s="260">
        <f>INDEX('Entrada de Dados'!U$6:U$196,MATCH($C195,'Entrada de Dados'!$A$6:$A$196,0))</f>
        <v/>
      </c>
    </row>
    <row r="196" ht="15" customHeight="1" s="163">
      <c r="A196" s="258" t="n">
        <v>14</v>
      </c>
      <c r="B196" s="258" t="n"/>
      <c r="C196" s="258" t="inlineStr">
        <is>
          <t>2014</t>
        </is>
      </c>
      <c r="D196" s="259">
        <f>HYPERLINK("#'ESCOLA MONSENHOR GENTIL'!A1","ESCOLA MONSENHOR GENTIL")</f>
        <v/>
      </c>
      <c r="E196" s="259" t="inlineStr">
        <is>
          <t>CENTRO</t>
        </is>
      </c>
      <c r="F196" s="260">
        <f>INDEX('Entrada de Dados'!C$6:C$196,MATCH($C196,'Entrada de Dados'!$A$6:$A$196,0))</f>
        <v/>
      </c>
      <c r="G196" s="260">
        <f>INDEX('Entrada de Dados'!D$6:D$196,MATCH($C196,'Entrada de Dados'!$A$6:$A$196,0))</f>
        <v/>
      </c>
      <c r="H196" s="260">
        <f>INDEX('Entrada de Dados'!E$6:E$196,MATCH($C196,'Entrada de Dados'!$A$6:$A$196,0))</f>
        <v/>
      </c>
      <c r="I196" s="260">
        <f>INDEX('Entrada de Dados'!F$6:F$196,MATCH($C196,'Entrada de Dados'!$A$6:$A$196,0))</f>
        <v/>
      </c>
      <c r="J196" s="260">
        <f>INDEX('Entrada de Dados'!G$6:G$196,MATCH($C196,'Entrada de Dados'!$A$6:$A$196,0))</f>
        <v/>
      </c>
      <c r="K196" s="260">
        <f>INDEX('Entrada de Dados'!H$6:H$196,MATCH($C196,'Entrada de Dados'!$A$6:$A$196,0))</f>
        <v/>
      </c>
      <c r="L196" s="260">
        <f>INDEX('Entrada de Dados'!I$6:I$196,MATCH($C196,'Entrada de Dados'!$A$6:$A$196,0))</f>
        <v/>
      </c>
      <c r="M196" s="260">
        <f>INDEX('Entrada de Dados'!J$6:J$196,MATCH($C196,'Entrada de Dados'!$A$6:$A$196,0))</f>
        <v/>
      </c>
      <c r="N196" s="260">
        <f>INDEX('Entrada de Dados'!K$6:K$196,MATCH($C196,'Entrada de Dados'!$A$6:$A$196,0))</f>
        <v/>
      </c>
      <c r="O196" s="260">
        <f>INDEX('Entrada de Dados'!L$6:L$196,MATCH($C196,'Entrada de Dados'!$A$6:$A$196,0))</f>
        <v/>
      </c>
      <c r="P196" s="260">
        <f>INDEX('Entrada de Dados'!M$6:M$196,MATCH($C196,'Entrada de Dados'!$A$6:$A$196,0))</f>
        <v/>
      </c>
      <c r="Q196" s="260">
        <f>INDEX('Entrada de Dados'!N$6:N$196,MATCH($C196,'Entrada de Dados'!$A$6:$A$196,0))</f>
        <v/>
      </c>
      <c r="R196" s="260">
        <f>INDEX('Entrada de Dados'!O$6:O$196,MATCH($C196,'Entrada de Dados'!$A$6:$A$196,0))</f>
        <v/>
      </c>
      <c r="S196" s="260">
        <f>INDEX('Entrada de Dados'!P$6:P$196,MATCH($C196,'Entrada de Dados'!$A$6:$A$196,0))</f>
        <v/>
      </c>
      <c r="T196" s="260">
        <f>INDEX('Entrada de Dados'!Q$6:Q$196,MATCH($C196,'Entrada de Dados'!$A$6:$A$196,0))</f>
        <v/>
      </c>
      <c r="U196" s="260">
        <f>INDEX('Entrada de Dados'!R$6:R$196,MATCH($C196,'Entrada de Dados'!$A$6:$A$196,0))</f>
        <v/>
      </c>
      <c r="V196" s="260">
        <f>INDEX('Entrada de Dados'!S$6:S$196,MATCH($C196,'Entrada de Dados'!$A$6:$A$196,0))</f>
        <v/>
      </c>
      <c r="W196" s="260">
        <f>INDEX('Entrada de Dados'!T$6:T$196,MATCH($C196,'Entrada de Dados'!$A$6:$A$196,0))</f>
        <v/>
      </c>
      <c r="X196" s="260">
        <f>INDEX('Entrada de Dados'!U$6:U$196,MATCH($C196,'Entrada de Dados'!$A$6:$A$196,0))</f>
        <v/>
      </c>
    </row>
    <row r="197" ht="15" customHeight="1" s="163">
      <c r="A197" s="261" t="n">
        <v>15</v>
      </c>
      <c r="B197" s="261" t="inlineStr">
        <is>
          <t>A</t>
        </is>
      </c>
      <c r="C197" s="262" t="inlineStr">
        <is>
          <t>3037</t>
        </is>
      </c>
      <c r="D197" s="263">
        <f>HYPERLINK("#'CEI TERRA SANTA'!A1","CEI TERRA SANTA")</f>
        <v/>
      </c>
      <c r="E197" s="263" t="inlineStr">
        <is>
          <t>CENTRO</t>
        </is>
      </c>
      <c r="F197" s="264">
        <f>INDEX('Entrada de Dados'!C$6:C$196,MATCH($C197,'Entrada de Dados'!$A$6:$A$196,0))</f>
        <v/>
      </c>
      <c r="G197" s="264">
        <f>INDEX('Entrada de Dados'!D$6:D$196,MATCH($C197,'Entrada de Dados'!$A$6:$A$196,0))</f>
        <v/>
      </c>
      <c r="H197" s="264">
        <f>INDEX('Entrada de Dados'!E$6:E$196,MATCH($C197,'Entrada de Dados'!$A$6:$A$196,0))</f>
        <v/>
      </c>
      <c r="I197" s="264">
        <f>INDEX('Entrada de Dados'!F$6:F$196,MATCH($C197,'Entrada de Dados'!$A$6:$A$196,0))</f>
        <v/>
      </c>
      <c r="J197" s="264">
        <f>INDEX('Entrada de Dados'!G$6:G$196,MATCH($C197,'Entrada de Dados'!$A$6:$A$196,0))</f>
        <v/>
      </c>
      <c r="K197" s="264">
        <f>INDEX('Entrada de Dados'!H$6:H$196,MATCH($C197,'Entrada de Dados'!$A$6:$A$196,0))</f>
        <v/>
      </c>
      <c r="L197" s="264">
        <f>INDEX('Entrada de Dados'!I$6:I$196,MATCH($C197,'Entrada de Dados'!$A$6:$A$196,0))</f>
        <v/>
      </c>
      <c r="M197" s="264">
        <f>INDEX('Entrada de Dados'!J$6:J$196,MATCH($C197,'Entrada de Dados'!$A$6:$A$196,0))</f>
        <v/>
      </c>
      <c r="N197" s="264">
        <f>INDEX('Entrada de Dados'!K$6:K$196,MATCH($C197,'Entrada de Dados'!$A$6:$A$196,0))</f>
        <v/>
      </c>
      <c r="O197" s="264">
        <f>INDEX('Entrada de Dados'!L$6:L$196,MATCH($C197,'Entrada de Dados'!$A$6:$A$196,0))</f>
        <v/>
      </c>
      <c r="P197" s="264">
        <f>INDEX('Entrada de Dados'!M$6:M$196,MATCH($C197,'Entrada de Dados'!$A$6:$A$196,0))</f>
        <v/>
      </c>
      <c r="Q197" s="264">
        <f>INDEX('Entrada de Dados'!N$6:N$196,MATCH($C197,'Entrada de Dados'!$A$6:$A$196,0))</f>
        <v/>
      </c>
      <c r="R197" s="264">
        <f>INDEX('Entrada de Dados'!O$6:O$196,MATCH($C197,'Entrada de Dados'!$A$6:$A$196,0))</f>
        <v/>
      </c>
      <c r="S197" s="264">
        <f>INDEX('Entrada de Dados'!P$6:P$196,MATCH($C197,'Entrada de Dados'!$A$6:$A$196,0))</f>
        <v/>
      </c>
      <c r="T197" s="264">
        <f>INDEX('Entrada de Dados'!Q$6:Q$196,MATCH($C197,'Entrada de Dados'!$A$6:$A$196,0))</f>
        <v/>
      </c>
      <c r="U197" s="264">
        <f>INDEX('Entrada de Dados'!R$6:R$196,MATCH($C197,'Entrada de Dados'!$A$6:$A$196,0))</f>
        <v/>
      </c>
      <c r="V197" s="264">
        <f>INDEX('Entrada de Dados'!S$6:S$196,MATCH($C197,'Entrada de Dados'!$A$6:$A$196,0))</f>
        <v/>
      </c>
      <c r="W197" s="264">
        <f>INDEX('Entrada de Dados'!T$6:T$196,MATCH($C197,'Entrada de Dados'!$A$6:$A$196,0))</f>
        <v/>
      </c>
      <c r="X197" s="264">
        <f>INDEX('Entrada de Dados'!U$6:U$196,MATCH($C197,'Entrada de Dados'!$A$6:$A$196,0))</f>
        <v/>
      </c>
    </row>
    <row r="198" ht="15" customHeight="1" s="163">
      <c r="A198" s="261" t="n">
        <v>15</v>
      </c>
      <c r="B198" s="261" t="inlineStr">
        <is>
          <t>B</t>
        </is>
      </c>
      <c r="C198" s="262" t="inlineStr">
        <is>
          <t>2005</t>
        </is>
      </c>
      <c r="D198" s="263">
        <f>HYPERLINK("#'EDUCANDÁRIO TERRA SANTA'!A1","EDUCANDÁRIO TERRA SANTA")</f>
        <v/>
      </c>
      <c r="E198" s="263" t="inlineStr">
        <is>
          <t>VALPARAÍSO</t>
        </is>
      </c>
      <c r="F198" s="264">
        <f>INDEX('Entrada de Dados'!C$6:C$196,MATCH($C198,'Entrada de Dados'!$A$6:$A$196,0))</f>
        <v/>
      </c>
      <c r="G198" s="264">
        <f>INDEX('Entrada de Dados'!D$6:D$196,MATCH($C198,'Entrada de Dados'!$A$6:$A$196,0))</f>
        <v/>
      </c>
      <c r="H198" s="264">
        <f>INDEX('Entrada de Dados'!E$6:E$196,MATCH($C198,'Entrada de Dados'!$A$6:$A$196,0))</f>
        <v/>
      </c>
      <c r="I198" s="264">
        <f>INDEX('Entrada de Dados'!F$6:F$196,MATCH($C198,'Entrada de Dados'!$A$6:$A$196,0))</f>
        <v/>
      </c>
      <c r="J198" s="264">
        <f>INDEX('Entrada de Dados'!G$6:G$196,MATCH($C198,'Entrada de Dados'!$A$6:$A$196,0))</f>
        <v/>
      </c>
      <c r="K198" s="264">
        <f>INDEX('Entrada de Dados'!H$6:H$196,MATCH($C198,'Entrada de Dados'!$A$6:$A$196,0))</f>
        <v/>
      </c>
      <c r="L198" s="264">
        <f>INDEX('Entrada de Dados'!I$6:I$196,MATCH($C198,'Entrada de Dados'!$A$6:$A$196,0))</f>
        <v/>
      </c>
      <c r="M198" s="264">
        <f>INDEX('Entrada de Dados'!J$6:J$196,MATCH($C198,'Entrada de Dados'!$A$6:$A$196,0))</f>
        <v/>
      </c>
      <c r="N198" s="264">
        <f>INDEX('Entrada de Dados'!K$6:K$196,MATCH($C198,'Entrada de Dados'!$A$6:$A$196,0))</f>
        <v/>
      </c>
      <c r="O198" s="264">
        <f>INDEX('Entrada de Dados'!L$6:L$196,MATCH($C198,'Entrada de Dados'!$A$6:$A$196,0))</f>
        <v/>
      </c>
      <c r="P198" s="264">
        <f>INDEX('Entrada de Dados'!M$6:M$196,MATCH($C198,'Entrada de Dados'!$A$6:$A$196,0))</f>
        <v/>
      </c>
      <c r="Q198" s="264">
        <f>INDEX('Entrada de Dados'!N$6:N$196,MATCH($C198,'Entrada de Dados'!$A$6:$A$196,0))</f>
        <v/>
      </c>
      <c r="R198" s="264">
        <f>INDEX('Entrada de Dados'!O$6:O$196,MATCH($C198,'Entrada de Dados'!$A$6:$A$196,0))</f>
        <v/>
      </c>
      <c r="S198" s="264">
        <f>INDEX('Entrada de Dados'!P$6:P$196,MATCH($C198,'Entrada de Dados'!$A$6:$A$196,0))</f>
        <v/>
      </c>
      <c r="T198" s="264">
        <f>INDEX('Entrada de Dados'!Q$6:Q$196,MATCH($C198,'Entrada de Dados'!$A$6:$A$196,0))</f>
        <v/>
      </c>
      <c r="U198" s="264">
        <f>INDEX('Entrada de Dados'!R$6:R$196,MATCH($C198,'Entrada de Dados'!$A$6:$A$196,0))</f>
        <v/>
      </c>
      <c r="V198" s="264">
        <f>INDEX('Entrada de Dados'!S$6:S$196,MATCH($C198,'Entrada de Dados'!$A$6:$A$196,0))</f>
        <v/>
      </c>
      <c r="W198" s="264">
        <f>INDEX('Entrada de Dados'!T$6:T$196,MATCH($C198,'Entrada de Dados'!$A$6:$A$196,0))</f>
        <v/>
      </c>
      <c r="X198" s="264">
        <f>INDEX('Entrada de Dados'!U$6:U$196,MATCH($C198,'Entrada de Dados'!$A$6:$A$196,0))</f>
        <v/>
      </c>
    </row>
    <row r="199" ht="15" customHeight="1" s="163">
      <c r="A199" s="258" t="n">
        <v>16</v>
      </c>
      <c r="B199" s="258" t="n"/>
      <c r="C199" s="258" t="inlineStr">
        <is>
          <t>1026</t>
        </is>
      </c>
      <c r="D199" s="259">
        <f>HYPERLINK("#'LICEU MUN PREFEITO CORDOLINO AM'!A1","LICEU MUN PREFEITO CORDOLINO AMBROSIO")</f>
        <v/>
      </c>
      <c r="E199" s="259" t="inlineStr">
        <is>
          <t>CENTRO</t>
        </is>
      </c>
      <c r="F199" s="260">
        <f>INDEX('Entrada de Dados'!C$6:C$196,MATCH($C199,'Entrada de Dados'!$A$6:$A$196,0))</f>
        <v/>
      </c>
      <c r="G199" s="260">
        <f>INDEX('Entrada de Dados'!D$6:D$196,MATCH($C199,'Entrada de Dados'!$A$6:$A$196,0))</f>
        <v/>
      </c>
      <c r="H199" s="260">
        <f>INDEX('Entrada de Dados'!E$6:E$196,MATCH($C199,'Entrada de Dados'!$A$6:$A$196,0))</f>
        <v/>
      </c>
      <c r="I199" s="260">
        <f>INDEX('Entrada de Dados'!F$6:F$196,MATCH($C199,'Entrada de Dados'!$A$6:$A$196,0))</f>
        <v/>
      </c>
      <c r="J199" s="260">
        <f>INDEX('Entrada de Dados'!G$6:G$196,MATCH($C199,'Entrada de Dados'!$A$6:$A$196,0))</f>
        <v/>
      </c>
      <c r="K199" s="260">
        <f>INDEX('Entrada de Dados'!H$6:H$196,MATCH($C199,'Entrada de Dados'!$A$6:$A$196,0))</f>
        <v/>
      </c>
      <c r="L199" s="260">
        <f>INDEX('Entrada de Dados'!I$6:I$196,MATCH($C199,'Entrada de Dados'!$A$6:$A$196,0))</f>
        <v/>
      </c>
      <c r="M199" s="260">
        <f>INDEX('Entrada de Dados'!J$6:J$196,MATCH($C199,'Entrada de Dados'!$A$6:$A$196,0))</f>
        <v/>
      </c>
      <c r="N199" s="260">
        <f>INDEX('Entrada de Dados'!K$6:K$196,MATCH($C199,'Entrada de Dados'!$A$6:$A$196,0))</f>
        <v/>
      </c>
      <c r="O199" s="260">
        <f>INDEX('Entrada de Dados'!L$6:L$196,MATCH($C199,'Entrada de Dados'!$A$6:$A$196,0))</f>
        <v/>
      </c>
      <c r="P199" s="260">
        <f>INDEX('Entrada de Dados'!M$6:M$196,MATCH($C199,'Entrada de Dados'!$A$6:$A$196,0))</f>
        <v/>
      </c>
      <c r="Q199" s="260">
        <f>INDEX('Entrada de Dados'!N$6:N$196,MATCH($C199,'Entrada de Dados'!$A$6:$A$196,0))</f>
        <v/>
      </c>
      <c r="R199" s="260">
        <f>INDEX('Entrada de Dados'!O$6:O$196,MATCH($C199,'Entrada de Dados'!$A$6:$A$196,0))</f>
        <v/>
      </c>
      <c r="S199" s="260">
        <f>INDEX('Entrada de Dados'!P$6:P$196,MATCH($C199,'Entrada de Dados'!$A$6:$A$196,0))</f>
        <v/>
      </c>
      <c r="T199" s="260">
        <f>INDEX('Entrada de Dados'!Q$6:Q$196,MATCH($C199,'Entrada de Dados'!$A$6:$A$196,0))</f>
        <v/>
      </c>
      <c r="U199" s="260">
        <f>INDEX('Entrada de Dados'!R$6:R$196,MATCH($C199,'Entrada de Dados'!$A$6:$A$196,0))</f>
        <v/>
      </c>
      <c r="V199" s="260">
        <f>INDEX('Entrada de Dados'!S$6:S$196,MATCH($C199,'Entrada de Dados'!$A$6:$A$196,0))</f>
        <v/>
      </c>
      <c r="W199" s="260">
        <f>INDEX('Entrada de Dados'!T$6:T$196,MATCH($C199,'Entrada de Dados'!$A$6:$A$196,0))</f>
        <v/>
      </c>
      <c r="X199" s="260">
        <f>INDEX('Entrada de Dados'!U$6:U$196,MATCH($C199,'Entrada de Dados'!$A$6:$A$196,0))</f>
        <v/>
      </c>
    </row>
    <row r="200" ht="15" customHeight="1" s="163">
      <c r="A200" s="258" t="n">
        <v>17</v>
      </c>
      <c r="B200" s="258" t="n"/>
      <c r="C200" s="258" t="inlineStr">
        <is>
          <t>1023</t>
        </is>
      </c>
      <c r="D200" s="259">
        <f>HYPERLINK("#'E M DE EDUCAÇÃO ESPECIAL SANTOS'!A1","E M DE EDUCAÇÃO ESPECIAL SANTOS DUMONT")</f>
        <v/>
      </c>
      <c r="E200" s="259" t="inlineStr">
        <is>
          <t>CENTRO</t>
        </is>
      </c>
      <c r="F200" s="260">
        <f>INDEX('Entrada de Dados'!C$6:C$196,MATCH($C200,'Entrada de Dados'!$A$6:$A$196,0))</f>
        <v/>
      </c>
      <c r="G200" s="260">
        <f>INDEX('Entrada de Dados'!D$6:D$196,MATCH($C200,'Entrada de Dados'!$A$6:$A$196,0))</f>
        <v/>
      </c>
      <c r="H200" s="260">
        <f>INDEX('Entrada de Dados'!E$6:E$196,MATCH($C200,'Entrada de Dados'!$A$6:$A$196,0))</f>
        <v/>
      </c>
      <c r="I200" s="260">
        <f>INDEX('Entrada de Dados'!F$6:F$196,MATCH($C200,'Entrada de Dados'!$A$6:$A$196,0))</f>
        <v/>
      </c>
      <c r="J200" s="260">
        <f>INDEX('Entrada de Dados'!G$6:G$196,MATCH($C200,'Entrada de Dados'!$A$6:$A$196,0))</f>
        <v/>
      </c>
      <c r="K200" s="260">
        <f>INDEX('Entrada de Dados'!H$6:H$196,MATCH($C200,'Entrada de Dados'!$A$6:$A$196,0))</f>
        <v/>
      </c>
      <c r="L200" s="260">
        <f>INDEX('Entrada de Dados'!I$6:I$196,MATCH($C200,'Entrada de Dados'!$A$6:$A$196,0))</f>
        <v/>
      </c>
      <c r="M200" s="260">
        <f>INDEX('Entrada de Dados'!J$6:J$196,MATCH($C200,'Entrada de Dados'!$A$6:$A$196,0))</f>
        <v/>
      </c>
      <c r="N200" s="260">
        <f>INDEX('Entrada de Dados'!K$6:K$196,MATCH($C200,'Entrada de Dados'!$A$6:$A$196,0))</f>
        <v/>
      </c>
      <c r="O200" s="260">
        <f>INDEX('Entrada de Dados'!L$6:L$196,MATCH($C200,'Entrada de Dados'!$A$6:$A$196,0))</f>
        <v/>
      </c>
      <c r="P200" s="260">
        <f>INDEX('Entrada de Dados'!M$6:M$196,MATCH($C200,'Entrada de Dados'!$A$6:$A$196,0))</f>
        <v/>
      </c>
      <c r="Q200" s="260">
        <f>INDEX('Entrada de Dados'!N$6:N$196,MATCH($C200,'Entrada de Dados'!$A$6:$A$196,0))</f>
        <v/>
      </c>
      <c r="R200" s="260">
        <f>INDEX('Entrada de Dados'!O$6:O$196,MATCH($C200,'Entrada de Dados'!$A$6:$A$196,0))</f>
        <v/>
      </c>
      <c r="S200" s="260">
        <f>INDEX('Entrada de Dados'!P$6:P$196,MATCH($C200,'Entrada de Dados'!$A$6:$A$196,0))</f>
        <v/>
      </c>
      <c r="T200" s="260">
        <f>INDEX('Entrada de Dados'!Q$6:Q$196,MATCH($C200,'Entrada de Dados'!$A$6:$A$196,0))</f>
        <v/>
      </c>
      <c r="U200" s="260">
        <f>INDEX('Entrada de Dados'!R$6:R$196,MATCH($C200,'Entrada de Dados'!$A$6:$A$196,0))</f>
        <v/>
      </c>
      <c r="V200" s="260">
        <f>INDEX('Entrada de Dados'!S$6:S$196,MATCH($C200,'Entrada de Dados'!$A$6:$A$196,0))</f>
        <v/>
      </c>
      <c r="W200" s="260">
        <f>INDEX('Entrada de Dados'!T$6:T$196,MATCH($C200,'Entrada de Dados'!$A$6:$A$196,0))</f>
        <v/>
      </c>
      <c r="X200" s="260">
        <f>INDEX('Entrada de Dados'!U$6:U$196,MATCH($C200,'Entrada de Dados'!$A$6:$A$196,0))</f>
        <v/>
      </c>
    </row>
    <row r="201" ht="15" customHeight="1" s="163">
      <c r="A201" s="258" t="n">
        <v>18</v>
      </c>
      <c r="B201" s="258" t="n"/>
      <c r="C201" s="258" t="inlineStr">
        <is>
          <t>3066</t>
        </is>
      </c>
      <c r="D201" s="259">
        <f>HYPERLINK("#'CENTRO DE EDUCAÇÃO INFANTIL PRO'!A1","CENTRO DE EDUCAÇÃO INFANTIL PROFESSORA TINA GRAZINOLI")</f>
        <v/>
      </c>
      <c r="E201" s="259" t="inlineStr">
        <is>
          <t>CENTRO</t>
        </is>
      </c>
      <c r="F201" s="260">
        <f>INDEX('Entrada de Dados'!C$6:C$196,MATCH($C201,'Entrada de Dados'!$A$6:$A$196,0))</f>
        <v/>
      </c>
      <c r="G201" s="260">
        <f>INDEX('Entrada de Dados'!D$6:D$196,MATCH($C201,'Entrada de Dados'!$A$6:$A$196,0))</f>
        <v/>
      </c>
      <c r="H201" s="260">
        <f>INDEX('Entrada de Dados'!E$6:E$196,MATCH($C201,'Entrada de Dados'!$A$6:$A$196,0))</f>
        <v/>
      </c>
      <c r="I201" s="260">
        <f>INDEX('Entrada de Dados'!F$6:F$196,MATCH($C201,'Entrada de Dados'!$A$6:$A$196,0))</f>
        <v/>
      </c>
      <c r="J201" s="260">
        <f>INDEX('Entrada de Dados'!G$6:G$196,MATCH($C201,'Entrada de Dados'!$A$6:$A$196,0))</f>
        <v/>
      </c>
      <c r="K201" s="260">
        <f>INDEX('Entrada de Dados'!H$6:H$196,MATCH($C201,'Entrada de Dados'!$A$6:$A$196,0))</f>
        <v/>
      </c>
      <c r="L201" s="260">
        <f>INDEX('Entrada de Dados'!I$6:I$196,MATCH($C201,'Entrada de Dados'!$A$6:$A$196,0))</f>
        <v/>
      </c>
      <c r="M201" s="260">
        <f>INDEX('Entrada de Dados'!J$6:J$196,MATCH($C201,'Entrada de Dados'!$A$6:$A$196,0))</f>
        <v/>
      </c>
      <c r="N201" s="260">
        <f>INDEX('Entrada de Dados'!K$6:K$196,MATCH($C201,'Entrada de Dados'!$A$6:$A$196,0))</f>
        <v/>
      </c>
      <c r="O201" s="260">
        <f>INDEX('Entrada de Dados'!L$6:L$196,MATCH($C201,'Entrada de Dados'!$A$6:$A$196,0))</f>
        <v/>
      </c>
      <c r="P201" s="260">
        <f>INDEX('Entrada de Dados'!M$6:M$196,MATCH($C201,'Entrada de Dados'!$A$6:$A$196,0))</f>
        <v/>
      </c>
      <c r="Q201" s="260">
        <f>INDEX('Entrada de Dados'!N$6:N$196,MATCH($C201,'Entrada de Dados'!$A$6:$A$196,0))</f>
        <v/>
      </c>
      <c r="R201" s="260">
        <f>INDEX('Entrada de Dados'!O$6:O$196,MATCH($C201,'Entrada de Dados'!$A$6:$A$196,0))</f>
        <v/>
      </c>
      <c r="S201" s="260">
        <f>INDEX('Entrada de Dados'!P$6:P$196,MATCH($C201,'Entrada de Dados'!$A$6:$A$196,0))</f>
        <v/>
      </c>
      <c r="T201" s="260">
        <f>INDEX('Entrada de Dados'!Q$6:Q$196,MATCH($C201,'Entrada de Dados'!$A$6:$A$196,0))</f>
        <v/>
      </c>
      <c r="U201" s="260">
        <f>INDEX('Entrada de Dados'!R$6:R$196,MATCH($C201,'Entrada de Dados'!$A$6:$A$196,0))</f>
        <v/>
      </c>
      <c r="V201" s="260">
        <f>INDEX('Entrada de Dados'!S$6:S$196,MATCH($C201,'Entrada de Dados'!$A$6:$A$196,0))</f>
        <v/>
      </c>
      <c r="W201" s="260">
        <f>INDEX('Entrada de Dados'!T$6:T$196,MATCH($C201,'Entrada de Dados'!$A$6:$A$196,0))</f>
        <v/>
      </c>
      <c r="X201" s="260">
        <f>INDEX('Entrada de Dados'!U$6:U$196,MATCH($C201,'Entrada de Dados'!$A$6:$A$196,0))</f>
        <v/>
      </c>
    </row>
    <row r="202" ht="15" customHeight="1" s="163">
      <c r="A202" s="258" t="n">
        <v>19</v>
      </c>
      <c r="B202" s="258" t="n"/>
      <c r="C202" s="258" t="inlineStr">
        <is>
          <t>3055</t>
        </is>
      </c>
      <c r="D202" s="259">
        <f>HYPERLINK("#'CEI DRA ZILDA ARNS NEUMANN'!A1","CEI DRA ZILDA ARNS NEUMANN")</f>
        <v/>
      </c>
      <c r="E202" s="259" t="inlineStr">
        <is>
          <t>CENTRO</t>
        </is>
      </c>
      <c r="F202" s="260">
        <f>INDEX('Entrada de Dados'!C$6:C$196,MATCH($C202,'Entrada de Dados'!$A$6:$A$196,0))</f>
        <v/>
      </c>
      <c r="G202" s="260">
        <f>INDEX('Entrada de Dados'!D$6:D$196,MATCH($C202,'Entrada de Dados'!$A$6:$A$196,0))</f>
        <v/>
      </c>
      <c r="H202" s="260">
        <f>INDEX('Entrada de Dados'!E$6:E$196,MATCH($C202,'Entrada de Dados'!$A$6:$A$196,0))</f>
        <v/>
      </c>
      <c r="I202" s="260">
        <f>INDEX('Entrada de Dados'!F$6:F$196,MATCH($C202,'Entrada de Dados'!$A$6:$A$196,0))</f>
        <v/>
      </c>
      <c r="J202" s="260">
        <f>INDEX('Entrada de Dados'!G$6:G$196,MATCH($C202,'Entrada de Dados'!$A$6:$A$196,0))</f>
        <v/>
      </c>
      <c r="K202" s="260">
        <f>INDEX('Entrada de Dados'!H$6:H$196,MATCH($C202,'Entrada de Dados'!$A$6:$A$196,0))</f>
        <v/>
      </c>
      <c r="L202" s="260">
        <f>INDEX('Entrada de Dados'!I$6:I$196,MATCH($C202,'Entrada de Dados'!$A$6:$A$196,0))</f>
        <v/>
      </c>
      <c r="M202" s="260">
        <f>INDEX('Entrada de Dados'!J$6:J$196,MATCH($C202,'Entrada de Dados'!$A$6:$A$196,0))</f>
        <v/>
      </c>
      <c r="N202" s="260">
        <f>INDEX('Entrada de Dados'!K$6:K$196,MATCH($C202,'Entrada de Dados'!$A$6:$A$196,0))</f>
        <v/>
      </c>
      <c r="O202" s="260">
        <f>INDEX('Entrada de Dados'!L$6:L$196,MATCH($C202,'Entrada de Dados'!$A$6:$A$196,0))</f>
        <v/>
      </c>
      <c r="P202" s="260">
        <f>INDEX('Entrada de Dados'!M$6:M$196,MATCH($C202,'Entrada de Dados'!$A$6:$A$196,0))</f>
        <v/>
      </c>
      <c r="Q202" s="260">
        <f>INDEX('Entrada de Dados'!N$6:N$196,MATCH($C202,'Entrada de Dados'!$A$6:$A$196,0))</f>
        <v/>
      </c>
      <c r="R202" s="260">
        <f>INDEX('Entrada de Dados'!O$6:O$196,MATCH($C202,'Entrada de Dados'!$A$6:$A$196,0))</f>
        <v/>
      </c>
      <c r="S202" s="260">
        <f>INDEX('Entrada de Dados'!P$6:P$196,MATCH($C202,'Entrada de Dados'!$A$6:$A$196,0))</f>
        <v/>
      </c>
      <c r="T202" s="260">
        <f>INDEX('Entrada de Dados'!Q$6:Q$196,MATCH($C202,'Entrada de Dados'!$A$6:$A$196,0))</f>
        <v/>
      </c>
      <c r="U202" s="260">
        <f>INDEX('Entrada de Dados'!R$6:R$196,MATCH($C202,'Entrada de Dados'!$A$6:$A$196,0))</f>
        <v/>
      </c>
      <c r="V202" s="260">
        <f>INDEX('Entrada de Dados'!S$6:S$196,MATCH($C202,'Entrada de Dados'!$A$6:$A$196,0))</f>
        <v/>
      </c>
      <c r="W202" s="260">
        <f>INDEX('Entrada de Dados'!T$6:T$196,MATCH($C202,'Entrada de Dados'!$A$6:$A$196,0))</f>
        <v/>
      </c>
      <c r="X202" s="260">
        <f>INDEX('Entrada de Dados'!U$6:U$196,MATCH($C202,'Entrada de Dados'!$A$6:$A$196,0))</f>
        <v/>
      </c>
    </row>
    <row r="203" ht="21.75" customHeight="1" s="163">
      <c r="A203" s="265" t="inlineStr">
        <is>
          <t>Peso previsto:</t>
        </is>
      </c>
      <c r="C203" s="266">
        <f>SUM(F182:F202)+SUM(G182:G202)+SUM(H182:H202)+SUM(I182:I202)+SUM(J182:J202)+SUM(K182:K202)+SUM(L182:L202)+SUM(M182:M202)+SUM(N182:N202)+SUM(O182:O202)+SUM(P182:P202)+SUM(Q182:Q202)+SUM(R182:R202)+SUM(S182:S202)+SUM(T182:T202)+SUM(U182:U202)+SUM(W182:W202)+SUM(X182:X202)</f>
        <v/>
      </c>
      <c r="D203" s="265" t="inlineStr">
        <is>
          <t>Peso embarcado (kg):</t>
        </is>
      </c>
      <c r="F203" s="267" t="n"/>
      <c r="G203" s="265" t="inlineStr">
        <is>
          <t>Veículo:</t>
        </is>
      </c>
      <c r="I203" s="267" t="n"/>
      <c r="J203" s="268" t="n"/>
      <c r="K203" s="265" t="inlineStr">
        <is>
          <t>Motorista:</t>
        </is>
      </c>
      <c r="M203" s="267" t="n"/>
      <c r="N203" s="269" t="n"/>
      <c r="O203" s="269" t="n"/>
      <c r="P203" s="269" t="n"/>
      <c r="Q203" s="269" t="n"/>
      <c r="R203" s="269" t="n"/>
      <c r="S203" s="269" t="n"/>
      <c r="T203" s="269" t="n"/>
      <c r="U203" s="269" t="n"/>
      <c r="V203" s="269" t="n"/>
      <c r="W203" s="269" t="n"/>
      <c r="X203" s="268" t="n"/>
    </row>
    <row r="205" ht="19.5" customHeight="1" s="163">
      <c r="A205" s="186" t="inlineStr">
        <is>
          <t>ROTA T4 — VALPARAÍSO - QUITANDINHA - DUQUES · CAMINHÃO LEVE / KOMBI · 12 escolas · 11 paradas físicas</t>
        </is>
      </c>
    </row>
    <row r="206" ht="25.5" customHeight="1" s="163">
      <c r="A206" s="256" t="inlineStr">
        <is>
          <t>Sequência-base: Galpão Itaipava &gt; Valparaíso &gt; Quitandinha &gt; Duques &gt; Galpão   Atenção: Eixo urbano misto. Definir veículo final pelo peso e pelo espaço de descarga de cada escola.</t>
        </is>
      </c>
    </row>
    <row r="207" ht="30" customHeight="1" s="163">
      <c r="A207" s="257" t="inlineStr">
        <is>
          <t>PAR.</t>
        </is>
      </c>
      <c r="B207" s="257" t="inlineStr">
        <is>
          <t>SUB</t>
        </is>
      </c>
      <c r="C207" s="257" t="inlineStr">
        <is>
          <t>CÓDIGO</t>
        </is>
      </c>
      <c r="D207" s="257" t="inlineStr">
        <is>
          <t>ESCOLA</t>
        </is>
      </c>
      <c r="E207" s="257" t="inlineStr">
        <is>
          <t>BAIRRO/CORREDOR</t>
        </is>
      </c>
      <c r="F207" s="257" t="inlineStr">
        <is>
          <t>Abacate</t>
        </is>
      </c>
      <c r="G207" s="257" t="inlineStr">
        <is>
          <t>Abobrinha</t>
        </is>
      </c>
      <c r="H207" s="257" t="inlineStr">
        <is>
          <t>Agrião</t>
        </is>
      </c>
      <c r="I207" s="257" t="inlineStr">
        <is>
          <t>Alface lisa</t>
        </is>
      </c>
      <c r="J207" s="257" t="inlineStr">
        <is>
          <t>Banana prata</t>
        </is>
      </c>
      <c r="K207" s="257" t="inlineStr">
        <is>
          <t>Batata inglesa</t>
        </is>
      </c>
      <c r="L207" s="257" t="inlineStr">
        <is>
          <t>Beterraba</t>
        </is>
      </c>
      <c r="M207" s="257" t="inlineStr">
        <is>
          <t>Brócolis</t>
        </is>
      </c>
      <c r="N207" s="257" t="inlineStr">
        <is>
          <t>Cenoura</t>
        </is>
      </c>
      <c r="O207" s="257" t="inlineStr">
        <is>
          <t>Cheiro verde</t>
        </is>
      </c>
      <c r="P207" s="257" t="inlineStr">
        <is>
          <t>Chuchu</t>
        </is>
      </c>
      <c r="Q207" s="257" t="inlineStr">
        <is>
          <t>Couve manteiga</t>
        </is>
      </c>
      <c r="R207" s="257" t="inlineStr">
        <is>
          <t>Couve-flor</t>
        </is>
      </c>
      <c r="S207" s="257" t="inlineStr">
        <is>
          <t>Espinafre</t>
        </is>
      </c>
      <c r="T207" s="257" t="inlineStr">
        <is>
          <t>Maçã gala</t>
        </is>
      </c>
      <c r="U207" s="257" t="inlineStr">
        <is>
          <t>Mel</t>
        </is>
      </c>
      <c r="V207" s="257" t="inlineStr">
        <is>
          <t>Ovos (dz)</t>
        </is>
      </c>
      <c r="W207" s="257" t="inlineStr">
        <is>
          <t>Repolho</t>
        </is>
      </c>
      <c r="X207" s="257" t="inlineStr">
        <is>
          <t>Tangerina ponkan</t>
        </is>
      </c>
    </row>
    <row r="208" ht="15" customHeight="1" s="163">
      <c r="A208" s="258" t="n">
        <v>1</v>
      </c>
      <c r="B208" s="258" t="n"/>
      <c r="C208" s="258" t="inlineStr">
        <is>
          <t>1117</t>
        </is>
      </c>
      <c r="D208" s="259">
        <f>HYPERLINK("#'COLÉGIO GUNNAR VINGREN DE PETRÓ'!A1","COLÉGIO GUNNAR VINGREN DE PETRÓPOLIS")</f>
        <v/>
      </c>
      <c r="E208" s="259" t="inlineStr">
        <is>
          <t>VALPARAÍSO</t>
        </is>
      </c>
      <c r="F208" s="260">
        <f>INDEX('Entrada de Dados'!C$6:C$196,MATCH($C208,'Entrada de Dados'!$A$6:$A$196,0))</f>
        <v/>
      </c>
      <c r="G208" s="260">
        <f>INDEX('Entrada de Dados'!D$6:D$196,MATCH($C208,'Entrada de Dados'!$A$6:$A$196,0))</f>
        <v/>
      </c>
      <c r="H208" s="260">
        <f>INDEX('Entrada de Dados'!E$6:E$196,MATCH($C208,'Entrada de Dados'!$A$6:$A$196,0))</f>
        <v/>
      </c>
      <c r="I208" s="260">
        <f>INDEX('Entrada de Dados'!F$6:F$196,MATCH($C208,'Entrada de Dados'!$A$6:$A$196,0))</f>
        <v/>
      </c>
      <c r="J208" s="260">
        <f>INDEX('Entrada de Dados'!G$6:G$196,MATCH($C208,'Entrada de Dados'!$A$6:$A$196,0))</f>
        <v/>
      </c>
      <c r="K208" s="260">
        <f>INDEX('Entrada de Dados'!H$6:H$196,MATCH($C208,'Entrada de Dados'!$A$6:$A$196,0))</f>
        <v/>
      </c>
      <c r="L208" s="260">
        <f>INDEX('Entrada de Dados'!I$6:I$196,MATCH($C208,'Entrada de Dados'!$A$6:$A$196,0))</f>
        <v/>
      </c>
      <c r="M208" s="260">
        <f>INDEX('Entrada de Dados'!J$6:J$196,MATCH($C208,'Entrada de Dados'!$A$6:$A$196,0))</f>
        <v/>
      </c>
      <c r="N208" s="260">
        <f>INDEX('Entrada de Dados'!K$6:K$196,MATCH($C208,'Entrada de Dados'!$A$6:$A$196,0))</f>
        <v/>
      </c>
      <c r="O208" s="260">
        <f>INDEX('Entrada de Dados'!L$6:L$196,MATCH($C208,'Entrada de Dados'!$A$6:$A$196,0))</f>
        <v/>
      </c>
      <c r="P208" s="260">
        <f>INDEX('Entrada de Dados'!M$6:M$196,MATCH($C208,'Entrada de Dados'!$A$6:$A$196,0))</f>
        <v/>
      </c>
      <c r="Q208" s="260">
        <f>INDEX('Entrada de Dados'!N$6:N$196,MATCH($C208,'Entrada de Dados'!$A$6:$A$196,0))</f>
        <v/>
      </c>
      <c r="R208" s="260">
        <f>INDEX('Entrada de Dados'!O$6:O$196,MATCH($C208,'Entrada de Dados'!$A$6:$A$196,0))</f>
        <v/>
      </c>
      <c r="S208" s="260">
        <f>INDEX('Entrada de Dados'!P$6:P$196,MATCH($C208,'Entrada de Dados'!$A$6:$A$196,0))</f>
        <v/>
      </c>
      <c r="T208" s="260">
        <f>INDEX('Entrada de Dados'!Q$6:Q$196,MATCH($C208,'Entrada de Dados'!$A$6:$A$196,0))</f>
        <v/>
      </c>
      <c r="U208" s="260">
        <f>INDEX('Entrada de Dados'!R$6:R$196,MATCH($C208,'Entrada de Dados'!$A$6:$A$196,0))</f>
        <v/>
      </c>
      <c r="V208" s="260">
        <f>INDEX('Entrada de Dados'!S$6:S$196,MATCH($C208,'Entrada de Dados'!$A$6:$A$196,0))</f>
        <v/>
      </c>
      <c r="W208" s="260">
        <f>INDEX('Entrada de Dados'!T$6:T$196,MATCH($C208,'Entrada de Dados'!$A$6:$A$196,0))</f>
        <v/>
      </c>
      <c r="X208" s="260">
        <f>INDEX('Entrada de Dados'!U$6:U$196,MATCH($C208,'Entrada de Dados'!$A$6:$A$196,0))</f>
        <v/>
      </c>
    </row>
    <row r="209" ht="15" customHeight="1" s="163">
      <c r="A209" s="258" t="n">
        <v>2</v>
      </c>
      <c r="B209" s="258" t="n"/>
      <c r="C209" s="258" t="inlineStr">
        <is>
          <t>3041</t>
        </is>
      </c>
      <c r="D209" s="259">
        <f>HYPERLINK("#'CEI LIONS CLUBE DE PETRÓPOLIS'!A1","CEI LIONS CLUBE DE PETRÓPOLIS")</f>
        <v/>
      </c>
      <c r="E209" s="259" t="inlineStr">
        <is>
          <t>VALPARAÍSO</t>
        </is>
      </c>
      <c r="F209" s="260">
        <f>INDEX('Entrada de Dados'!C$6:C$196,MATCH($C209,'Entrada de Dados'!$A$6:$A$196,0))</f>
        <v/>
      </c>
      <c r="G209" s="260">
        <f>INDEX('Entrada de Dados'!D$6:D$196,MATCH($C209,'Entrada de Dados'!$A$6:$A$196,0))</f>
        <v/>
      </c>
      <c r="H209" s="260">
        <f>INDEX('Entrada de Dados'!E$6:E$196,MATCH($C209,'Entrada de Dados'!$A$6:$A$196,0))</f>
        <v/>
      </c>
      <c r="I209" s="260">
        <f>INDEX('Entrada de Dados'!F$6:F$196,MATCH($C209,'Entrada de Dados'!$A$6:$A$196,0))</f>
        <v/>
      </c>
      <c r="J209" s="260">
        <f>INDEX('Entrada de Dados'!G$6:G$196,MATCH($C209,'Entrada de Dados'!$A$6:$A$196,0))</f>
        <v/>
      </c>
      <c r="K209" s="260">
        <f>INDEX('Entrada de Dados'!H$6:H$196,MATCH($C209,'Entrada de Dados'!$A$6:$A$196,0))</f>
        <v/>
      </c>
      <c r="L209" s="260">
        <f>INDEX('Entrada de Dados'!I$6:I$196,MATCH($C209,'Entrada de Dados'!$A$6:$A$196,0))</f>
        <v/>
      </c>
      <c r="M209" s="260">
        <f>INDEX('Entrada de Dados'!J$6:J$196,MATCH($C209,'Entrada de Dados'!$A$6:$A$196,0))</f>
        <v/>
      </c>
      <c r="N209" s="260">
        <f>INDEX('Entrada de Dados'!K$6:K$196,MATCH($C209,'Entrada de Dados'!$A$6:$A$196,0))</f>
        <v/>
      </c>
      <c r="O209" s="260">
        <f>INDEX('Entrada de Dados'!L$6:L$196,MATCH($C209,'Entrada de Dados'!$A$6:$A$196,0))</f>
        <v/>
      </c>
      <c r="P209" s="260">
        <f>INDEX('Entrada de Dados'!M$6:M$196,MATCH($C209,'Entrada de Dados'!$A$6:$A$196,0))</f>
        <v/>
      </c>
      <c r="Q209" s="260">
        <f>INDEX('Entrada de Dados'!N$6:N$196,MATCH($C209,'Entrada de Dados'!$A$6:$A$196,0))</f>
        <v/>
      </c>
      <c r="R209" s="260">
        <f>INDEX('Entrada de Dados'!O$6:O$196,MATCH($C209,'Entrada de Dados'!$A$6:$A$196,0))</f>
        <v/>
      </c>
      <c r="S209" s="260">
        <f>INDEX('Entrada de Dados'!P$6:P$196,MATCH($C209,'Entrada de Dados'!$A$6:$A$196,0))</f>
        <v/>
      </c>
      <c r="T209" s="260">
        <f>INDEX('Entrada de Dados'!Q$6:Q$196,MATCH($C209,'Entrada de Dados'!$A$6:$A$196,0))</f>
        <v/>
      </c>
      <c r="U209" s="260">
        <f>INDEX('Entrada de Dados'!R$6:R$196,MATCH($C209,'Entrada de Dados'!$A$6:$A$196,0))</f>
        <v/>
      </c>
      <c r="V209" s="260">
        <f>INDEX('Entrada de Dados'!S$6:S$196,MATCH($C209,'Entrada de Dados'!$A$6:$A$196,0))</f>
        <v/>
      </c>
      <c r="W209" s="260">
        <f>INDEX('Entrada de Dados'!T$6:T$196,MATCH($C209,'Entrada de Dados'!$A$6:$A$196,0))</f>
        <v/>
      </c>
      <c r="X209" s="260">
        <f>INDEX('Entrada de Dados'!U$6:U$196,MATCH($C209,'Entrada de Dados'!$A$6:$A$196,0))</f>
        <v/>
      </c>
    </row>
    <row r="210" ht="15" customHeight="1" s="163">
      <c r="A210" s="258" t="n">
        <v>3</v>
      </c>
      <c r="B210" s="258" t="n"/>
      <c r="C210" s="258" t="inlineStr">
        <is>
          <t>3030</t>
        </is>
      </c>
      <c r="D210" s="259">
        <f>HYPERLINK("#'CEI MARLI SOARES FERREIRA NETTO'!A1","CEI MARLI SOARES FERREIRA NETTO")</f>
        <v/>
      </c>
      <c r="E210" s="259" t="inlineStr">
        <is>
          <t>QUITANDINHA</t>
        </is>
      </c>
      <c r="F210" s="260">
        <f>INDEX('Entrada de Dados'!C$6:C$196,MATCH($C210,'Entrada de Dados'!$A$6:$A$196,0))</f>
        <v/>
      </c>
      <c r="G210" s="260">
        <f>INDEX('Entrada de Dados'!D$6:D$196,MATCH($C210,'Entrada de Dados'!$A$6:$A$196,0))</f>
        <v/>
      </c>
      <c r="H210" s="260">
        <f>INDEX('Entrada de Dados'!E$6:E$196,MATCH($C210,'Entrada de Dados'!$A$6:$A$196,0))</f>
        <v/>
      </c>
      <c r="I210" s="260">
        <f>INDEX('Entrada de Dados'!F$6:F$196,MATCH($C210,'Entrada de Dados'!$A$6:$A$196,0))</f>
        <v/>
      </c>
      <c r="J210" s="260">
        <f>INDEX('Entrada de Dados'!G$6:G$196,MATCH($C210,'Entrada de Dados'!$A$6:$A$196,0))</f>
        <v/>
      </c>
      <c r="K210" s="260">
        <f>INDEX('Entrada de Dados'!H$6:H$196,MATCH($C210,'Entrada de Dados'!$A$6:$A$196,0))</f>
        <v/>
      </c>
      <c r="L210" s="260">
        <f>INDEX('Entrada de Dados'!I$6:I$196,MATCH($C210,'Entrada de Dados'!$A$6:$A$196,0))</f>
        <v/>
      </c>
      <c r="M210" s="260">
        <f>INDEX('Entrada de Dados'!J$6:J$196,MATCH($C210,'Entrada de Dados'!$A$6:$A$196,0))</f>
        <v/>
      </c>
      <c r="N210" s="260">
        <f>INDEX('Entrada de Dados'!K$6:K$196,MATCH($C210,'Entrada de Dados'!$A$6:$A$196,0))</f>
        <v/>
      </c>
      <c r="O210" s="260">
        <f>INDEX('Entrada de Dados'!L$6:L$196,MATCH($C210,'Entrada de Dados'!$A$6:$A$196,0))</f>
        <v/>
      </c>
      <c r="P210" s="260">
        <f>INDEX('Entrada de Dados'!M$6:M$196,MATCH($C210,'Entrada de Dados'!$A$6:$A$196,0))</f>
        <v/>
      </c>
      <c r="Q210" s="260">
        <f>INDEX('Entrada de Dados'!N$6:N$196,MATCH($C210,'Entrada de Dados'!$A$6:$A$196,0))</f>
        <v/>
      </c>
      <c r="R210" s="260">
        <f>INDEX('Entrada de Dados'!O$6:O$196,MATCH($C210,'Entrada de Dados'!$A$6:$A$196,0))</f>
        <v/>
      </c>
      <c r="S210" s="260">
        <f>INDEX('Entrada de Dados'!P$6:P$196,MATCH($C210,'Entrada de Dados'!$A$6:$A$196,0))</f>
        <v/>
      </c>
      <c r="T210" s="260">
        <f>INDEX('Entrada de Dados'!Q$6:Q$196,MATCH($C210,'Entrada de Dados'!$A$6:$A$196,0))</f>
        <v/>
      </c>
      <c r="U210" s="260">
        <f>INDEX('Entrada de Dados'!R$6:R$196,MATCH($C210,'Entrada de Dados'!$A$6:$A$196,0))</f>
        <v/>
      </c>
      <c r="V210" s="260">
        <f>INDEX('Entrada de Dados'!S$6:S$196,MATCH($C210,'Entrada de Dados'!$A$6:$A$196,0))</f>
        <v/>
      </c>
      <c r="W210" s="260">
        <f>INDEX('Entrada de Dados'!T$6:T$196,MATCH($C210,'Entrada de Dados'!$A$6:$A$196,0))</f>
        <v/>
      </c>
      <c r="X210" s="260">
        <f>INDEX('Entrada de Dados'!U$6:U$196,MATCH($C210,'Entrada de Dados'!$A$6:$A$196,0))</f>
        <v/>
      </c>
    </row>
    <row r="211" ht="15" customHeight="1" s="163">
      <c r="A211" s="258" t="n">
        <v>4</v>
      </c>
      <c r="B211" s="258" t="n"/>
      <c r="C211" s="258" t="inlineStr">
        <is>
          <t>1098</t>
        </is>
      </c>
      <c r="D211" s="259">
        <f>HYPERLINK("#'E M PROFª JANDIRA PEIXOTO BORDI'!A1","E M PROFª JANDIRA PEIXOTO BORDIGNON")</f>
        <v/>
      </c>
      <c r="E211" s="259" t="inlineStr">
        <is>
          <t>QUITANDINHA</t>
        </is>
      </c>
      <c r="F211" s="260">
        <f>INDEX('Entrada de Dados'!C$6:C$196,MATCH($C211,'Entrada de Dados'!$A$6:$A$196,0))</f>
        <v/>
      </c>
      <c r="G211" s="260">
        <f>INDEX('Entrada de Dados'!D$6:D$196,MATCH($C211,'Entrada de Dados'!$A$6:$A$196,0))</f>
        <v/>
      </c>
      <c r="H211" s="260">
        <f>INDEX('Entrada de Dados'!E$6:E$196,MATCH($C211,'Entrada de Dados'!$A$6:$A$196,0))</f>
        <v/>
      </c>
      <c r="I211" s="260">
        <f>INDEX('Entrada de Dados'!F$6:F$196,MATCH($C211,'Entrada de Dados'!$A$6:$A$196,0))</f>
        <v/>
      </c>
      <c r="J211" s="260">
        <f>INDEX('Entrada de Dados'!G$6:G$196,MATCH($C211,'Entrada de Dados'!$A$6:$A$196,0))</f>
        <v/>
      </c>
      <c r="K211" s="260">
        <f>INDEX('Entrada de Dados'!H$6:H$196,MATCH($C211,'Entrada de Dados'!$A$6:$A$196,0))</f>
        <v/>
      </c>
      <c r="L211" s="260">
        <f>INDEX('Entrada de Dados'!I$6:I$196,MATCH($C211,'Entrada de Dados'!$A$6:$A$196,0))</f>
        <v/>
      </c>
      <c r="M211" s="260">
        <f>INDEX('Entrada de Dados'!J$6:J$196,MATCH($C211,'Entrada de Dados'!$A$6:$A$196,0))</f>
        <v/>
      </c>
      <c r="N211" s="260">
        <f>INDEX('Entrada de Dados'!K$6:K$196,MATCH($C211,'Entrada de Dados'!$A$6:$A$196,0))</f>
        <v/>
      </c>
      <c r="O211" s="260">
        <f>INDEX('Entrada de Dados'!L$6:L$196,MATCH($C211,'Entrada de Dados'!$A$6:$A$196,0))</f>
        <v/>
      </c>
      <c r="P211" s="260">
        <f>INDEX('Entrada de Dados'!M$6:M$196,MATCH($C211,'Entrada de Dados'!$A$6:$A$196,0))</f>
        <v/>
      </c>
      <c r="Q211" s="260">
        <f>INDEX('Entrada de Dados'!N$6:N$196,MATCH($C211,'Entrada de Dados'!$A$6:$A$196,0))</f>
        <v/>
      </c>
      <c r="R211" s="260">
        <f>INDEX('Entrada de Dados'!O$6:O$196,MATCH($C211,'Entrada de Dados'!$A$6:$A$196,0))</f>
        <v/>
      </c>
      <c r="S211" s="260">
        <f>INDEX('Entrada de Dados'!P$6:P$196,MATCH($C211,'Entrada de Dados'!$A$6:$A$196,0))</f>
        <v/>
      </c>
      <c r="T211" s="260">
        <f>INDEX('Entrada de Dados'!Q$6:Q$196,MATCH($C211,'Entrada de Dados'!$A$6:$A$196,0))</f>
        <v/>
      </c>
      <c r="U211" s="260">
        <f>INDEX('Entrada de Dados'!R$6:R$196,MATCH($C211,'Entrada de Dados'!$A$6:$A$196,0))</f>
        <v/>
      </c>
      <c r="V211" s="260">
        <f>INDEX('Entrada de Dados'!S$6:S$196,MATCH($C211,'Entrada de Dados'!$A$6:$A$196,0))</f>
        <v/>
      </c>
      <c r="W211" s="260">
        <f>INDEX('Entrada de Dados'!T$6:T$196,MATCH($C211,'Entrada de Dados'!$A$6:$A$196,0))</f>
        <v/>
      </c>
      <c r="X211" s="260">
        <f>INDEX('Entrada de Dados'!U$6:U$196,MATCH($C211,'Entrada de Dados'!$A$6:$A$196,0))</f>
        <v/>
      </c>
    </row>
    <row r="212" ht="15" customHeight="1" s="163">
      <c r="A212" s="261" t="n">
        <v>5</v>
      </c>
      <c r="B212" s="261" t="inlineStr">
        <is>
          <t>A</t>
        </is>
      </c>
      <c r="C212" s="262" t="inlineStr">
        <is>
          <t>1017</t>
        </is>
      </c>
      <c r="D212" s="263">
        <f>HYPERLINK("#'E M GOVERNADOR MARCELLO ALENCAR'!A1","E M GOVERNADOR MARCELLO ALENCAR")</f>
        <v/>
      </c>
      <c r="E212" s="263" t="inlineStr">
        <is>
          <t>QUITANDINHA</t>
        </is>
      </c>
      <c r="F212" s="264">
        <f>INDEX('Entrada de Dados'!C$6:C$196,MATCH($C212,'Entrada de Dados'!$A$6:$A$196,0))</f>
        <v/>
      </c>
      <c r="G212" s="264">
        <f>INDEX('Entrada de Dados'!D$6:D$196,MATCH($C212,'Entrada de Dados'!$A$6:$A$196,0))</f>
        <v/>
      </c>
      <c r="H212" s="264">
        <f>INDEX('Entrada de Dados'!E$6:E$196,MATCH($C212,'Entrada de Dados'!$A$6:$A$196,0))</f>
        <v/>
      </c>
      <c r="I212" s="264">
        <f>INDEX('Entrada de Dados'!F$6:F$196,MATCH($C212,'Entrada de Dados'!$A$6:$A$196,0))</f>
        <v/>
      </c>
      <c r="J212" s="264">
        <f>INDEX('Entrada de Dados'!G$6:G$196,MATCH($C212,'Entrada de Dados'!$A$6:$A$196,0))</f>
        <v/>
      </c>
      <c r="K212" s="264">
        <f>INDEX('Entrada de Dados'!H$6:H$196,MATCH($C212,'Entrada de Dados'!$A$6:$A$196,0))</f>
        <v/>
      </c>
      <c r="L212" s="264">
        <f>INDEX('Entrada de Dados'!I$6:I$196,MATCH($C212,'Entrada de Dados'!$A$6:$A$196,0))</f>
        <v/>
      </c>
      <c r="M212" s="264">
        <f>INDEX('Entrada de Dados'!J$6:J$196,MATCH($C212,'Entrada de Dados'!$A$6:$A$196,0))</f>
        <v/>
      </c>
      <c r="N212" s="264">
        <f>INDEX('Entrada de Dados'!K$6:K$196,MATCH($C212,'Entrada de Dados'!$A$6:$A$196,0))</f>
        <v/>
      </c>
      <c r="O212" s="264">
        <f>INDEX('Entrada de Dados'!L$6:L$196,MATCH($C212,'Entrada de Dados'!$A$6:$A$196,0))</f>
        <v/>
      </c>
      <c r="P212" s="264">
        <f>INDEX('Entrada de Dados'!M$6:M$196,MATCH($C212,'Entrada de Dados'!$A$6:$A$196,0))</f>
        <v/>
      </c>
      <c r="Q212" s="264">
        <f>INDEX('Entrada de Dados'!N$6:N$196,MATCH($C212,'Entrada de Dados'!$A$6:$A$196,0))</f>
        <v/>
      </c>
      <c r="R212" s="264">
        <f>INDEX('Entrada de Dados'!O$6:O$196,MATCH($C212,'Entrada de Dados'!$A$6:$A$196,0))</f>
        <v/>
      </c>
      <c r="S212" s="264">
        <f>INDEX('Entrada de Dados'!P$6:P$196,MATCH($C212,'Entrada de Dados'!$A$6:$A$196,0))</f>
        <v/>
      </c>
      <c r="T212" s="264">
        <f>INDEX('Entrada de Dados'!Q$6:Q$196,MATCH($C212,'Entrada de Dados'!$A$6:$A$196,0))</f>
        <v/>
      </c>
      <c r="U212" s="264">
        <f>INDEX('Entrada de Dados'!R$6:R$196,MATCH($C212,'Entrada de Dados'!$A$6:$A$196,0))</f>
        <v/>
      </c>
      <c r="V212" s="264">
        <f>INDEX('Entrada de Dados'!S$6:S$196,MATCH($C212,'Entrada de Dados'!$A$6:$A$196,0))</f>
        <v/>
      </c>
      <c r="W212" s="264">
        <f>INDEX('Entrada de Dados'!T$6:T$196,MATCH($C212,'Entrada de Dados'!$A$6:$A$196,0))</f>
        <v/>
      </c>
      <c r="X212" s="264">
        <f>INDEX('Entrada de Dados'!U$6:U$196,MATCH($C212,'Entrada de Dados'!$A$6:$A$196,0))</f>
        <v/>
      </c>
    </row>
    <row r="213" ht="15" customHeight="1" s="163">
      <c r="A213" s="261" t="n">
        <v>5</v>
      </c>
      <c r="B213" s="261" t="inlineStr">
        <is>
          <t>B</t>
        </is>
      </c>
      <c r="C213" s="262" t="inlineStr">
        <is>
          <t>1093</t>
        </is>
      </c>
      <c r="D213" s="263">
        <f>HYPERLINK("#'E M PROFESSOR FLÁVIO MACIEL'!A1","E M PROFESSOR FLÁVIO MACIEL")</f>
        <v/>
      </c>
      <c r="E213" s="263" t="inlineStr">
        <is>
          <t>QUITANDINHA</t>
        </is>
      </c>
      <c r="F213" s="264">
        <f>INDEX('Entrada de Dados'!C$6:C$196,MATCH($C213,'Entrada de Dados'!$A$6:$A$196,0))</f>
        <v/>
      </c>
      <c r="G213" s="264">
        <f>INDEX('Entrada de Dados'!D$6:D$196,MATCH($C213,'Entrada de Dados'!$A$6:$A$196,0))</f>
        <v/>
      </c>
      <c r="H213" s="264">
        <f>INDEX('Entrada de Dados'!E$6:E$196,MATCH($C213,'Entrada de Dados'!$A$6:$A$196,0))</f>
        <v/>
      </c>
      <c r="I213" s="264">
        <f>INDEX('Entrada de Dados'!F$6:F$196,MATCH($C213,'Entrada de Dados'!$A$6:$A$196,0))</f>
        <v/>
      </c>
      <c r="J213" s="264">
        <f>INDEX('Entrada de Dados'!G$6:G$196,MATCH($C213,'Entrada de Dados'!$A$6:$A$196,0))</f>
        <v/>
      </c>
      <c r="K213" s="264">
        <f>INDEX('Entrada de Dados'!H$6:H$196,MATCH($C213,'Entrada de Dados'!$A$6:$A$196,0))</f>
        <v/>
      </c>
      <c r="L213" s="264">
        <f>INDEX('Entrada de Dados'!I$6:I$196,MATCH($C213,'Entrada de Dados'!$A$6:$A$196,0))</f>
        <v/>
      </c>
      <c r="M213" s="264">
        <f>INDEX('Entrada de Dados'!J$6:J$196,MATCH($C213,'Entrada de Dados'!$A$6:$A$196,0))</f>
        <v/>
      </c>
      <c r="N213" s="264">
        <f>INDEX('Entrada de Dados'!K$6:K$196,MATCH($C213,'Entrada de Dados'!$A$6:$A$196,0))</f>
        <v/>
      </c>
      <c r="O213" s="264">
        <f>INDEX('Entrada de Dados'!L$6:L$196,MATCH($C213,'Entrada de Dados'!$A$6:$A$196,0))</f>
        <v/>
      </c>
      <c r="P213" s="264">
        <f>INDEX('Entrada de Dados'!M$6:M$196,MATCH($C213,'Entrada de Dados'!$A$6:$A$196,0))</f>
        <v/>
      </c>
      <c r="Q213" s="264">
        <f>INDEX('Entrada de Dados'!N$6:N$196,MATCH($C213,'Entrada de Dados'!$A$6:$A$196,0))</f>
        <v/>
      </c>
      <c r="R213" s="264">
        <f>INDEX('Entrada de Dados'!O$6:O$196,MATCH($C213,'Entrada de Dados'!$A$6:$A$196,0))</f>
        <v/>
      </c>
      <c r="S213" s="264">
        <f>INDEX('Entrada de Dados'!P$6:P$196,MATCH($C213,'Entrada de Dados'!$A$6:$A$196,0))</f>
        <v/>
      </c>
      <c r="T213" s="264">
        <f>INDEX('Entrada de Dados'!Q$6:Q$196,MATCH($C213,'Entrada de Dados'!$A$6:$A$196,0))</f>
        <v/>
      </c>
      <c r="U213" s="264">
        <f>INDEX('Entrada de Dados'!R$6:R$196,MATCH($C213,'Entrada de Dados'!$A$6:$A$196,0))</f>
        <v/>
      </c>
      <c r="V213" s="264">
        <f>INDEX('Entrada de Dados'!S$6:S$196,MATCH($C213,'Entrada de Dados'!$A$6:$A$196,0))</f>
        <v/>
      </c>
      <c r="W213" s="264">
        <f>INDEX('Entrada de Dados'!T$6:T$196,MATCH($C213,'Entrada de Dados'!$A$6:$A$196,0))</f>
        <v/>
      </c>
      <c r="X213" s="264">
        <f>INDEX('Entrada de Dados'!U$6:U$196,MATCH($C213,'Entrada de Dados'!$A$6:$A$196,0))</f>
        <v/>
      </c>
    </row>
    <row r="214" ht="15" customHeight="1" s="163">
      <c r="A214" s="258" t="n">
        <v>6</v>
      </c>
      <c r="B214" s="258" t="n"/>
      <c r="C214" s="258" t="inlineStr">
        <is>
          <t>3035</t>
        </is>
      </c>
      <c r="D214" s="259">
        <f>HYPERLINK("#'CENTRO DE EDUCAÇÃO INFANTIL CHI'!A1","CENTRO DE EDUCAÇÃO INFANTIL CHIQUINHA ROLLA")</f>
        <v/>
      </c>
      <c r="E214" s="259" t="inlineStr">
        <is>
          <t>QUITANDINHA</t>
        </is>
      </c>
      <c r="F214" s="260">
        <f>INDEX('Entrada de Dados'!C$6:C$196,MATCH($C214,'Entrada de Dados'!$A$6:$A$196,0))</f>
        <v/>
      </c>
      <c r="G214" s="260">
        <f>INDEX('Entrada de Dados'!D$6:D$196,MATCH($C214,'Entrada de Dados'!$A$6:$A$196,0))</f>
        <v/>
      </c>
      <c r="H214" s="260">
        <f>INDEX('Entrada de Dados'!E$6:E$196,MATCH($C214,'Entrada de Dados'!$A$6:$A$196,0))</f>
        <v/>
      </c>
      <c r="I214" s="260">
        <f>INDEX('Entrada de Dados'!F$6:F$196,MATCH($C214,'Entrada de Dados'!$A$6:$A$196,0))</f>
        <v/>
      </c>
      <c r="J214" s="260">
        <f>INDEX('Entrada de Dados'!G$6:G$196,MATCH($C214,'Entrada de Dados'!$A$6:$A$196,0))</f>
        <v/>
      </c>
      <c r="K214" s="260">
        <f>INDEX('Entrada de Dados'!H$6:H$196,MATCH($C214,'Entrada de Dados'!$A$6:$A$196,0))</f>
        <v/>
      </c>
      <c r="L214" s="260">
        <f>INDEX('Entrada de Dados'!I$6:I$196,MATCH($C214,'Entrada de Dados'!$A$6:$A$196,0))</f>
        <v/>
      </c>
      <c r="M214" s="260">
        <f>INDEX('Entrada de Dados'!J$6:J$196,MATCH($C214,'Entrada de Dados'!$A$6:$A$196,0))</f>
        <v/>
      </c>
      <c r="N214" s="260">
        <f>INDEX('Entrada de Dados'!K$6:K$196,MATCH($C214,'Entrada de Dados'!$A$6:$A$196,0))</f>
        <v/>
      </c>
      <c r="O214" s="260">
        <f>INDEX('Entrada de Dados'!L$6:L$196,MATCH($C214,'Entrada de Dados'!$A$6:$A$196,0))</f>
        <v/>
      </c>
      <c r="P214" s="260">
        <f>INDEX('Entrada de Dados'!M$6:M$196,MATCH($C214,'Entrada de Dados'!$A$6:$A$196,0))</f>
        <v/>
      </c>
      <c r="Q214" s="260">
        <f>INDEX('Entrada de Dados'!N$6:N$196,MATCH($C214,'Entrada de Dados'!$A$6:$A$196,0))</f>
        <v/>
      </c>
      <c r="R214" s="260">
        <f>INDEX('Entrada de Dados'!O$6:O$196,MATCH($C214,'Entrada de Dados'!$A$6:$A$196,0))</f>
        <v/>
      </c>
      <c r="S214" s="260">
        <f>INDEX('Entrada de Dados'!P$6:P$196,MATCH($C214,'Entrada de Dados'!$A$6:$A$196,0))</f>
        <v/>
      </c>
      <c r="T214" s="260">
        <f>INDEX('Entrada de Dados'!Q$6:Q$196,MATCH($C214,'Entrada de Dados'!$A$6:$A$196,0))</f>
        <v/>
      </c>
      <c r="U214" s="260">
        <f>INDEX('Entrada de Dados'!R$6:R$196,MATCH($C214,'Entrada de Dados'!$A$6:$A$196,0))</f>
        <v/>
      </c>
      <c r="V214" s="260">
        <f>INDEX('Entrada de Dados'!S$6:S$196,MATCH($C214,'Entrada de Dados'!$A$6:$A$196,0))</f>
        <v/>
      </c>
      <c r="W214" s="260">
        <f>INDEX('Entrada de Dados'!T$6:T$196,MATCH($C214,'Entrada de Dados'!$A$6:$A$196,0))</f>
        <v/>
      </c>
      <c r="X214" s="260">
        <f>INDEX('Entrada de Dados'!U$6:U$196,MATCH($C214,'Entrada de Dados'!$A$6:$A$196,0))</f>
        <v/>
      </c>
    </row>
    <row r="215" ht="15" customHeight="1" s="163">
      <c r="A215" s="258" t="n">
        <v>7</v>
      </c>
      <c r="B215" s="258" t="n"/>
      <c r="C215" s="258" t="inlineStr">
        <is>
          <t>2015</t>
        </is>
      </c>
      <c r="D215" s="259">
        <f>HYPERLINK("#'ESCOLA PAROQUIAL BOM JESUS'!A1","ESCOLA PAROQUIAL BOM JESUS")</f>
        <v/>
      </c>
      <c r="E215" s="259" t="inlineStr">
        <is>
          <t>QUITANDINHA</t>
        </is>
      </c>
      <c r="F215" s="260">
        <f>INDEX('Entrada de Dados'!C$6:C$196,MATCH($C215,'Entrada de Dados'!$A$6:$A$196,0))</f>
        <v/>
      </c>
      <c r="G215" s="260">
        <f>INDEX('Entrada de Dados'!D$6:D$196,MATCH($C215,'Entrada de Dados'!$A$6:$A$196,0))</f>
        <v/>
      </c>
      <c r="H215" s="260">
        <f>INDEX('Entrada de Dados'!E$6:E$196,MATCH($C215,'Entrada de Dados'!$A$6:$A$196,0))</f>
        <v/>
      </c>
      <c r="I215" s="260">
        <f>INDEX('Entrada de Dados'!F$6:F$196,MATCH($C215,'Entrada de Dados'!$A$6:$A$196,0))</f>
        <v/>
      </c>
      <c r="J215" s="260">
        <f>INDEX('Entrada de Dados'!G$6:G$196,MATCH($C215,'Entrada de Dados'!$A$6:$A$196,0))</f>
        <v/>
      </c>
      <c r="K215" s="260">
        <f>INDEX('Entrada de Dados'!H$6:H$196,MATCH($C215,'Entrada de Dados'!$A$6:$A$196,0))</f>
        <v/>
      </c>
      <c r="L215" s="260">
        <f>INDEX('Entrada de Dados'!I$6:I$196,MATCH($C215,'Entrada de Dados'!$A$6:$A$196,0))</f>
        <v/>
      </c>
      <c r="M215" s="260">
        <f>INDEX('Entrada de Dados'!J$6:J$196,MATCH($C215,'Entrada de Dados'!$A$6:$A$196,0))</f>
        <v/>
      </c>
      <c r="N215" s="260">
        <f>INDEX('Entrada de Dados'!K$6:K$196,MATCH($C215,'Entrada de Dados'!$A$6:$A$196,0))</f>
        <v/>
      </c>
      <c r="O215" s="260">
        <f>INDEX('Entrada de Dados'!L$6:L$196,MATCH($C215,'Entrada de Dados'!$A$6:$A$196,0))</f>
        <v/>
      </c>
      <c r="P215" s="260">
        <f>INDEX('Entrada de Dados'!M$6:M$196,MATCH($C215,'Entrada de Dados'!$A$6:$A$196,0))</f>
        <v/>
      </c>
      <c r="Q215" s="260">
        <f>INDEX('Entrada de Dados'!N$6:N$196,MATCH($C215,'Entrada de Dados'!$A$6:$A$196,0))</f>
        <v/>
      </c>
      <c r="R215" s="260">
        <f>INDEX('Entrada de Dados'!O$6:O$196,MATCH($C215,'Entrada de Dados'!$A$6:$A$196,0))</f>
        <v/>
      </c>
      <c r="S215" s="260">
        <f>INDEX('Entrada de Dados'!P$6:P$196,MATCH($C215,'Entrada de Dados'!$A$6:$A$196,0))</f>
        <v/>
      </c>
      <c r="T215" s="260">
        <f>INDEX('Entrada de Dados'!Q$6:Q$196,MATCH($C215,'Entrada de Dados'!$A$6:$A$196,0))</f>
        <v/>
      </c>
      <c r="U215" s="260">
        <f>INDEX('Entrada de Dados'!R$6:R$196,MATCH($C215,'Entrada de Dados'!$A$6:$A$196,0))</f>
        <v/>
      </c>
      <c r="V215" s="260">
        <f>INDEX('Entrada de Dados'!S$6:S$196,MATCH($C215,'Entrada de Dados'!$A$6:$A$196,0))</f>
        <v/>
      </c>
      <c r="W215" s="260">
        <f>INDEX('Entrada de Dados'!T$6:T$196,MATCH($C215,'Entrada de Dados'!$A$6:$A$196,0))</f>
        <v/>
      </c>
      <c r="X215" s="260">
        <f>INDEX('Entrada de Dados'!U$6:U$196,MATCH($C215,'Entrada de Dados'!$A$6:$A$196,0))</f>
        <v/>
      </c>
    </row>
    <row r="216" ht="15" customHeight="1" s="163">
      <c r="A216" s="258" t="n">
        <v>8</v>
      </c>
      <c r="B216" s="258" t="n"/>
      <c r="C216" s="258" t="inlineStr">
        <is>
          <t>1105</t>
        </is>
      </c>
      <c r="D216" s="259">
        <f>HYPERLINK("#'E M STEFAN ZWEIG'!A1","E M STEFAN ZWEIG")</f>
        <v/>
      </c>
      <c r="E216" s="259" t="inlineStr">
        <is>
          <t>QUITANDINHA</t>
        </is>
      </c>
      <c r="F216" s="260">
        <f>INDEX('Entrada de Dados'!C$6:C$196,MATCH($C216,'Entrada de Dados'!$A$6:$A$196,0))</f>
        <v/>
      </c>
      <c r="G216" s="260">
        <f>INDEX('Entrada de Dados'!D$6:D$196,MATCH($C216,'Entrada de Dados'!$A$6:$A$196,0))</f>
        <v/>
      </c>
      <c r="H216" s="260">
        <f>INDEX('Entrada de Dados'!E$6:E$196,MATCH($C216,'Entrada de Dados'!$A$6:$A$196,0))</f>
        <v/>
      </c>
      <c r="I216" s="260">
        <f>INDEX('Entrada de Dados'!F$6:F$196,MATCH($C216,'Entrada de Dados'!$A$6:$A$196,0))</f>
        <v/>
      </c>
      <c r="J216" s="260">
        <f>INDEX('Entrada de Dados'!G$6:G$196,MATCH($C216,'Entrada de Dados'!$A$6:$A$196,0))</f>
        <v/>
      </c>
      <c r="K216" s="260">
        <f>INDEX('Entrada de Dados'!H$6:H$196,MATCH($C216,'Entrada de Dados'!$A$6:$A$196,0))</f>
        <v/>
      </c>
      <c r="L216" s="260">
        <f>INDEX('Entrada de Dados'!I$6:I$196,MATCH($C216,'Entrada de Dados'!$A$6:$A$196,0))</f>
        <v/>
      </c>
      <c r="M216" s="260">
        <f>INDEX('Entrada de Dados'!J$6:J$196,MATCH($C216,'Entrada de Dados'!$A$6:$A$196,0))</f>
        <v/>
      </c>
      <c r="N216" s="260">
        <f>INDEX('Entrada de Dados'!K$6:K$196,MATCH($C216,'Entrada de Dados'!$A$6:$A$196,0))</f>
        <v/>
      </c>
      <c r="O216" s="260">
        <f>INDEX('Entrada de Dados'!L$6:L$196,MATCH($C216,'Entrada de Dados'!$A$6:$A$196,0))</f>
        <v/>
      </c>
      <c r="P216" s="260">
        <f>INDEX('Entrada de Dados'!M$6:M$196,MATCH($C216,'Entrada de Dados'!$A$6:$A$196,0))</f>
        <v/>
      </c>
      <c r="Q216" s="260">
        <f>INDEX('Entrada de Dados'!N$6:N$196,MATCH($C216,'Entrada de Dados'!$A$6:$A$196,0))</f>
        <v/>
      </c>
      <c r="R216" s="260">
        <f>INDEX('Entrada de Dados'!O$6:O$196,MATCH($C216,'Entrada de Dados'!$A$6:$A$196,0))</f>
        <v/>
      </c>
      <c r="S216" s="260">
        <f>INDEX('Entrada de Dados'!P$6:P$196,MATCH($C216,'Entrada de Dados'!$A$6:$A$196,0))</f>
        <v/>
      </c>
      <c r="T216" s="260">
        <f>INDEX('Entrada de Dados'!Q$6:Q$196,MATCH($C216,'Entrada de Dados'!$A$6:$A$196,0))</f>
        <v/>
      </c>
      <c r="U216" s="260">
        <f>INDEX('Entrada de Dados'!R$6:R$196,MATCH($C216,'Entrada de Dados'!$A$6:$A$196,0))</f>
        <v/>
      </c>
      <c r="V216" s="260">
        <f>INDEX('Entrada de Dados'!S$6:S$196,MATCH($C216,'Entrada de Dados'!$A$6:$A$196,0))</f>
        <v/>
      </c>
      <c r="W216" s="260">
        <f>INDEX('Entrada de Dados'!T$6:T$196,MATCH($C216,'Entrada de Dados'!$A$6:$A$196,0))</f>
        <v/>
      </c>
      <c r="X216" s="260">
        <f>INDEX('Entrada de Dados'!U$6:U$196,MATCH($C216,'Entrada de Dados'!$A$6:$A$196,0))</f>
        <v/>
      </c>
    </row>
    <row r="217" ht="15" customHeight="1" s="163">
      <c r="A217" s="258" t="n">
        <v>9</v>
      </c>
      <c r="B217" s="258" t="n"/>
      <c r="C217" s="258" t="inlineStr">
        <is>
          <t>3049</t>
        </is>
      </c>
      <c r="D217" s="259">
        <f>HYPERLINK("#'CEI VILA IPANEMA'!A1","CEI VILA IPANEMA")</f>
        <v/>
      </c>
      <c r="E217" s="259" t="inlineStr">
        <is>
          <t>QUITANDINHA</t>
        </is>
      </c>
      <c r="F217" s="260">
        <f>INDEX('Entrada de Dados'!C$6:C$196,MATCH($C217,'Entrada de Dados'!$A$6:$A$196,0))</f>
        <v/>
      </c>
      <c r="G217" s="260">
        <f>INDEX('Entrada de Dados'!D$6:D$196,MATCH($C217,'Entrada de Dados'!$A$6:$A$196,0))</f>
        <v/>
      </c>
      <c r="H217" s="260">
        <f>INDEX('Entrada de Dados'!E$6:E$196,MATCH($C217,'Entrada de Dados'!$A$6:$A$196,0))</f>
        <v/>
      </c>
      <c r="I217" s="260">
        <f>INDEX('Entrada de Dados'!F$6:F$196,MATCH($C217,'Entrada de Dados'!$A$6:$A$196,0))</f>
        <v/>
      </c>
      <c r="J217" s="260">
        <f>INDEX('Entrada de Dados'!G$6:G$196,MATCH($C217,'Entrada de Dados'!$A$6:$A$196,0))</f>
        <v/>
      </c>
      <c r="K217" s="260">
        <f>INDEX('Entrada de Dados'!H$6:H$196,MATCH($C217,'Entrada de Dados'!$A$6:$A$196,0))</f>
        <v/>
      </c>
      <c r="L217" s="260">
        <f>INDEX('Entrada de Dados'!I$6:I$196,MATCH($C217,'Entrada de Dados'!$A$6:$A$196,0))</f>
        <v/>
      </c>
      <c r="M217" s="260">
        <f>INDEX('Entrada de Dados'!J$6:J$196,MATCH($C217,'Entrada de Dados'!$A$6:$A$196,0))</f>
        <v/>
      </c>
      <c r="N217" s="260">
        <f>INDEX('Entrada de Dados'!K$6:K$196,MATCH($C217,'Entrada de Dados'!$A$6:$A$196,0))</f>
        <v/>
      </c>
      <c r="O217" s="260">
        <f>INDEX('Entrada de Dados'!L$6:L$196,MATCH($C217,'Entrada de Dados'!$A$6:$A$196,0))</f>
        <v/>
      </c>
      <c r="P217" s="260">
        <f>INDEX('Entrada de Dados'!M$6:M$196,MATCH($C217,'Entrada de Dados'!$A$6:$A$196,0))</f>
        <v/>
      </c>
      <c r="Q217" s="260">
        <f>INDEX('Entrada de Dados'!N$6:N$196,MATCH($C217,'Entrada de Dados'!$A$6:$A$196,0))</f>
        <v/>
      </c>
      <c r="R217" s="260">
        <f>INDEX('Entrada de Dados'!O$6:O$196,MATCH($C217,'Entrada de Dados'!$A$6:$A$196,0))</f>
        <v/>
      </c>
      <c r="S217" s="260">
        <f>INDEX('Entrada de Dados'!P$6:P$196,MATCH($C217,'Entrada de Dados'!$A$6:$A$196,0))</f>
        <v/>
      </c>
      <c r="T217" s="260">
        <f>INDEX('Entrada de Dados'!Q$6:Q$196,MATCH($C217,'Entrada de Dados'!$A$6:$A$196,0))</f>
        <v/>
      </c>
      <c r="U217" s="260">
        <f>INDEX('Entrada de Dados'!R$6:R$196,MATCH($C217,'Entrada de Dados'!$A$6:$A$196,0))</f>
        <v/>
      </c>
      <c r="V217" s="260">
        <f>INDEX('Entrada de Dados'!S$6:S$196,MATCH($C217,'Entrada de Dados'!$A$6:$A$196,0))</f>
        <v/>
      </c>
      <c r="W217" s="260">
        <f>INDEX('Entrada de Dados'!T$6:T$196,MATCH($C217,'Entrada de Dados'!$A$6:$A$196,0))</f>
        <v/>
      </c>
      <c r="X217" s="260">
        <f>INDEX('Entrada de Dados'!U$6:U$196,MATCH($C217,'Entrada de Dados'!$A$6:$A$196,0))</f>
        <v/>
      </c>
    </row>
    <row r="218" ht="15" customHeight="1" s="163">
      <c r="A218" s="258" t="n">
        <v>10</v>
      </c>
      <c r="B218" s="258" t="n"/>
      <c r="C218" s="258" t="inlineStr">
        <is>
          <t>1013</t>
        </is>
      </c>
      <c r="D218" s="259">
        <f>HYPERLINK("#'ESCOLA MUNICIPAL ODETTE FONSECA'!A1","ESCOLA MUNICIPAL ODETTE FONSECA")</f>
        <v/>
      </c>
      <c r="E218" s="259" t="inlineStr">
        <is>
          <t>DUQUES</t>
        </is>
      </c>
      <c r="F218" s="260">
        <f>INDEX('Entrada de Dados'!C$6:C$196,MATCH($C218,'Entrada de Dados'!$A$6:$A$196,0))</f>
        <v/>
      </c>
      <c r="G218" s="260">
        <f>INDEX('Entrada de Dados'!D$6:D$196,MATCH($C218,'Entrada de Dados'!$A$6:$A$196,0))</f>
        <v/>
      </c>
      <c r="H218" s="260">
        <f>INDEX('Entrada de Dados'!E$6:E$196,MATCH($C218,'Entrada de Dados'!$A$6:$A$196,0))</f>
        <v/>
      </c>
      <c r="I218" s="260">
        <f>INDEX('Entrada de Dados'!F$6:F$196,MATCH($C218,'Entrada de Dados'!$A$6:$A$196,0))</f>
        <v/>
      </c>
      <c r="J218" s="260">
        <f>INDEX('Entrada de Dados'!G$6:G$196,MATCH($C218,'Entrada de Dados'!$A$6:$A$196,0))</f>
        <v/>
      </c>
      <c r="K218" s="260">
        <f>INDEX('Entrada de Dados'!H$6:H$196,MATCH($C218,'Entrada de Dados'!$A$6:$A$196,0))</f>
        <v/>
      </c>
      <c r="L218" s="260">
        <f>INDEX('Entrada de Dados'!I$6:I$196,MATCH($C218,'Entrada de Dados'!$A$6:$A$196,0))</f>
        <v/>
      </c>
      <c r="M218" s="260">
        <f>INDEX('Entrada de Dados'!J$6:J$196,MATCH($C218,'Entrada de Dados'!$A$6:$A$196,0))</f>
        <v/>
      </c>
      <c r="N218" s="260">
        <f>INDEX('Entrada de Dados'!K$6:K$196,MATCH($C218,'Entrada de Dados'!$A$6:$A$196,0))</f>
        <v/>
      </c>
      <c r="O218" s="260">
        <f>INDEX('Entrada de Dados'!L$6:L$196,MATCH($C218,'Entrada de Dados'!$A$6:$A$196,0))</f>
        <v/>
      </c>
      <c r="P218" s="260">
        <f>INDEX('Entrada de Dados'!M$6:M$196,MATCH($C218,'Entrada de Dados'!$A$6:$A$196,0))</f>
        <v/>
      </c>
      <c r="Q218" s="260">
        <f>INDEX('Entrada de Dados'!N$6:N$196,MATCH($C218,'Entrada de Dados'!$A$6:$A$196,0))</f>
        <v/>
      </c>
      <c r="R218" s="260">
        <f>INDEX('Entrada de Dados'!O$6:O$196,MATCH($C218,'Entrada de Dados'!$A$6:$A$196,0))</f>
        <v/>
      </c>
      <c r="S218" s="260">
        <f>INDEX('Entrada de Dados'!P$6:P$196,MATCH($C218,'Entrada de Dados'!$A$6:$A$196,0))</f>
        <v/>
      </c>
      <c r="T218" s="260">
        <f>INDEX('Entrada de Dados'!Q$6:Q$196,MATCH($C218,'Entrada de Dados'!$A$6:$A$196,0))</f>
        <v/>
      </c>
      <c r="U218" s="260">
        <f>INDEX('Entrada de Dados'!R$6:R$196,MATCH($C218,'Entrada de Dados'!$A$6:$A$196,0))</f>
        <v/>
      </c>
      <c r="V218" s="260">
        <f>INDEX('Entrada de Dados'!S$6:S$196,MATCH($C218,'Entrada de Dados'!$A$6:$A$196,0))</f>
        <v/>
      </c>
      <c r="W218" s="260">
        <f>INDEX('Entrada de Dados'!T$6:T$196,MATCH($C218,'Entrada de Dados'!$A$6:$A$196,0))</f>
        <v/>
      </c>
      <c r="X218" s="260">
        <f>INDEX('Entrada de Dados'!U$6:U$196,MATCH($C218,'Entrada de Dados'!$A$6:$A$196,0))</f>
        <v/>
      </c>
    </row>
    <row r="219" ht="15" customHeight="1" s="163">
      <c r="A219" s="258" t="n">
        <v>11</v>
      </c>
      <c r="B219" s="258" t="n"/>
      <c r="C219" s="258" t="inlineStr">
        <is>
          <t>3061</t>
        </is>
      </c>
      <c r="D219" s="259">
        <f>HYPERLINK("#'CEI ANA CAROLINA TELLES'!A1","CEI ANA CAROLINA TELLES")</f>
        <v/>
      </c>
      <c r="E219" s="259" t="inlineStr">
        <is>
          <t>DUQUES</t>
        </is>
      </c>
      <c r="F219" s="260">
        <f>INDEX('Entrada de Dados'!C$6:C$196,MATCH($C219,'Entrada de Dados'!$A$6:$A$196,0))</f>
        <v/>
      </c>
      <c r="G219" s="260">
        <f>INDEX('Entrada de Dados'!D$6:D$196,MATCH($C219,'Entrada de Dados'!$A$6:$A$196,0))</f>
        <v/>
      </c>
      <c r="H219" s="260">
        <f>INDEX('Entrada de Dados'!E$6:E$196,MATCH($C219,'Entrada de Dados'!$A$6:$A$196,0))</f>
        <v/>
      </c>
      <c r="I219" s="260">
        <f>INDEX('Entrada de Dados'!F$6:F$196,MATCH($C219,'Entrada de Dados'!$A$6:$A$196,0))</f>
        <v/>
      </c>
      <c r="J219" s="260">
        <f>INDEX('Entrada de Dados'!G$6:G$196,MATCH($C219,'Entrada de Dados'!$A$6:$A$196,0))</f>
        <v/>
      </c>
      <c r="K219" s="260">
        <f>INDEX('Entrada de Dados'!H$6:H$196,MATCH($C219,'Entrada de Dados'!$A$6:$A$196,0))</f>
        <v/>
      </c>
      <c r="L219" s="260">
        <f>INDEX('Entrada de Dados'!I$6:I$196,MATCH($C219,'Entrada de Dados'!$A$6:$A$196,0))</f>
        <v/>
      </c>
      <c r="M219" s="260">
        <f>INDEX('Entrada de Dados'!J$6:J$196,MATCH($C219,'Entrada de Dados'!$A$6:$A$196,0))</f>
        <v/>
      </c>
      <c r="N219" s="260">
        <f>INDEX('Entrada de Dados'!K$6:K$196,MATCH($C219,'Entrada de Dados'!$A$6:$A$196,0))</f>
        <v/>
      </c>
      <c r="O219" s="260">
        <f>INDEX('Entrada de Dados'!L$6:L$196,MATCH($C219,'Entrada de Dados'!$A$6:$A$196,0))</f>
        <v/>
      </c>
      <c r="P219" s="260">
        <f>INDEX('Entrada de Dados'!M$6:M$196,MATCH($C219,'Entrada de Dados'!$A$6:$A$196,0))</f>
        <v/>
      </c>
      <c r="Q219" s="260">
        <f>INDEX('Entrada de Dados'!N$6:N$196,MATCH($C219,'Entrada de Dados'!$A$6:$A$196,0))</f>
        <v/>
      </c>
      <c r="R219" s="260">
        <f>INDEX('Entrada de Dados'!O$6:O$196,MATCH($C219,'Entrada de Dados'!$A$6:$A$196,0))</f>
        <v/>
      </c>
      <c r="S219" s="260">
        <f>INDEX('Entrada de Dados'!P$6:P$196,MATCH($C219,'Entrada de Dados'!$A$6:$A$196,0))</f>
        <v/>
      </c>
      <c r="T219" s="260">
        <f>INDEX('Entrada de Dados'!Q$6:Q$196,MATCH($C219,'Entrada de Dados'!$A$6:$A$196,0))</f>
        <v/>
      </c>
      <c r="U219" s="260">
        <f>INDEX('Entrada de Dados'!R$6:R$196,MATCH($C219,'Entrada de Dados'!$A$6:$A$196,0))</f>
        <v/>
      </c>
      <c r="V219" s="260">
        <f>INDEX('Entrada de Dados'!S$6:S$196,MATCH($C219,'Entrada de Dados'!$A$6:$A$196,0))</f>
        <v/>
      </c>
      <c r="W219" s="260">
        <f>INDEX('Entrada de Dados'!T$6:T$196,MATCH($C219,'Entrada de Dados'!$A$6:$A$196,0))</f>
        <v/>
      </c>
      <c r="X219" s="260">
        <f>INDEX('Entrada de Dados'!U$6:U$196,MATCH($C219,'Entrada de Dados'!$A$6:$A$196,0))</f>
        <v/>
      </c>
    </row>
    <row r="220" ht="21.75" customHeight="1" s="163">
      <c r="A220" s="265" t="inlineStr">
        <is>
          <t>Peso previsto:</t>
        </is>
      </c>
      <c r="C220" s="266">
        <f>SUM(F208:F219)+SUM(G208:G219)+SUM(H208:H219)+SUM(I208:I219)+SUM(J208:J219)+SUM(K208:K219)+SUM(L208:L219)+SUM(M208:M219)+SUM(N208:N219)+SUM(O208:O219)+SUM(P208:P219)+SUM(Q208:Q219)+SUM(R208:R219)+SUM(S208:S219)+SUM(T208:T219)+SUM(U208:U219)+SUM(W208:W219)+SUM(X208:X219)</f>
        <v/>
      </c>
      <c r="D220" s="265" t="inlineStr">
        <is>
          <t>Peso embarcado (kg):</t>
        </is>
      </c>
      <c r="F220" s="267" t="n"/>
      <c r="G220" s="265" t="inlineStr">
        <is>
          <t>Veículo:</t>
        </is>
      </c>
      <c r="I220" s="267" t="n"/>
      <c r="J220" s="268" t="n"/>
      <c r="K220" s="265" t="inlineStr">
        <is>
          <t>Motorista:</t>
        </is>
      </c>
      <c r="M220" s="267" t="n"/>
      <c r="N220" s="269" t="n"/>
      <c r="O220" s="269" t="n"/>
      <c r="P220" s="269" t="n"/>
      <c r="Q220" s="269" t="n"/>
      <c r="R220" s="269" t="n"/>
      <c r="S220" s="269" t="n"/>
      <c r="T220" s="269" t="n"/>
      <c r="U220" s="269" t="n"/>
      <c r="V220" s="269" t="n"/>
      <c r="W220" s="269" t="n"/>
      <c r="X220" s="268" t="n"/>
    </row>
    <row r="222" ht="19.5" customHeight="1" s="163">
      <c r="A222" s="186" t="inlineStr">
        <is>
          <t>ROTA T5 — CASTELÂNEA - CHÁCARA FLORA - SIMÉRIA · KOMBI · 10 escolas · 9 paradas físicas</t>
        </is>
      </c>
    </row>
    <row r="223" ht="25.5" customHeight="1" s="163">
      <c r="A223" s="256" t="inlineStr">
        <is>
          <t>Sequência-base: Galpão Itaipava &gt; Castelânea &gt; Chácara Flora &gt; Siméria &gt; Galpão   Atenção: Ruas locais e trechos de subida. Permínio Schmith é uma parada compartilhada por duas escolas.</t>
        </is>
      </c>
    </row>
    <row r="224" ht="30" customHeight="1" s="163">
      <c r="A224" s="257" t="inlineStr">
        <is>
          <t>PAR.</t>
        </is>
      </c>
      <c r="B224" s="257" t="inlineStr">
        <is>
          <t>SUB</t>
        </is>
      </c>
      <c r="C224" s="257" t="inlineStr">
        <is>
          <t>CÓDIGO</t>
        </is>
      </c>
      <c r="D224" s="257" t="inlineStr">
        <is>
          <t>ESCOLA</t>
        </is>
      </c>
      <c r="E224" s="257" t="inlineStr">
        <is>
          <t>BAIRRO/CORREDOR</t>
        </is>
      </c>
      <c r="F224" s="257" t="inlineStr">
        <is>
          <t>Abacate</t>
        </is>
      </c>
      <c r="G224" s="257" t="inlineStr">
        <is>
          <t>Abobrinha</t>
        </is>
      </c>
      <c r="H224" s="257" t="inlineStr">
        <is>
          <t>Agrião</t>
        </is>
      </c>
      <c r="I224" s="257" t="inlineStr">
        <is>
          <t>Alface lisa</t>
        </is>
      </c>
      <c r="J224" s="257" t="inlineStr">
        <is>
          <t>Banana prata</t>
        </is>
      </c>
      <c r="K224" s="257" t="inlineStr">
        <is>
          <t>Batata inglesa</t>
        </is>
      </c>
      <c r="L224" s="257" t="inlineStr">
        <is>
          <t>Beterraba</t>
        </is>
      </c>
      <c r="M224" s="257" t="inlineStr">
        <is>
          <t>Brócolis</t>
        </is>
      </c>
      <c r="N224" s="257" t="inlineStr">
        <is>
          <t>Cenoura</t>
        </is>
      </c>
      <c r="O224" s="257" t="inlineStr">
        <is>
          <t>Cheiro verde</t>
        </is>
      </c>
      <c r="P224" s="257" t="inlineStr">
        <is>
          <t>Chuchu</t>
        </is>
      </c>
      <c r="Q224" s="257" t="inlineStr">
        <is>
          <t>Couve manteiga</t>
        </is>
      </c>
      <c r="R224" s="257" t="inlineStr">
        <is>
          <t>Couve-flor</t>
        </is>
      </c>
      <c r="S224" s="257" t="inlineStr">
        <is>
          <t>Espinafre</t>
        </is>
      </c>
      <c r="T224" s="257" t="inlineStr">
        <is>
          <t>Maçã gala</t>
        </is>
      </c>
      <c r="U224" s="257" t="inlineStr">
        <is>
          <t>Mel</t>
        </is>
      </c>
      <c r="V224" s="257" t="inlineStr">
        <is>
          <t>Ovos (dz)</t>
        </is>
      </c>
      <c r="W224" s="257" t="inlineStr">
        <is>
          <t>Repolho</t>
        </is>
      </c>
      <c r="X224" s="257" t="inlineStr">
        <is>
          <t>Tangerina ponkan</t>
        </is>
      </c>
    </row>
    <row r="225" ht="15" customHeight="1" s="163">
      <c r="A225" s="258" t="n">
        <v>1</v>
      </c>
      <c r="B225" s="258" t="n"/>
      <c r="C225" s="258" t="inlineStr">
        <is>
          <t>1083</t>
        </is>
      </c>
      <c r="D225" s="259">
        <f>HYPERLINK("#'ESCOLA MUNICIPAL ANA MOHAMMAD'!A1","ESCOLA MUNICIPAL ANA MOHAMMAD")</f>
        <v/>
      </c>
      <c r="E225" s="259" t="inlineStr">
        <is>
          <t>CASTELÂNEA</t>
        </is>
      </c>
      <c r="F225" s="260">
        <f>INDEX('Entrada de Dados'!C$6:C$196,MATCH($C225,'Entrada de Dados'!$A$6:$A$196,0))</f>
        <v/>
      </c>
      <c r="G225" s="260">
        <f>INDEX('Entrada de Dados'!D$6:D$196,MATCH($C225,'Entrada de Dados'!$A$6:$A$196,0))</f>
        <v/>
      </c>
      <c r="H225" s="260">
        <f>INDEX('Entrada de Dados'!E$6:E$196,MATCH($C225,'Entrada de Dados'!$A$6:$A$196,0))</f>
        <v/>
      </c>
      <c r="I225" s="260">
        <f>INDEX('Entrada de Dados'!F$6:F$196,MATCH($C225,'Entrada de Dados'!$A$6:$A$196,0))</f>
        <v/>
      </c>
      <c r="J225" s="260">
        <f>INDEX('Entrada de Dados'!G$6:G$196,MATCH($C225,'Entrada de Dados'!$A$6:$A$196,0))</f>
        <v/>
      </c>
      <c r="K225" s="260">
        <f>INDEX('Entrada de Dados'!H$6:H$196,MATCH($C225,'Entrada de Dados'!$A$6:$A$196,0))</f>
        <v/>
      </c>
      <c r="L225" s="260">
        <f>INDEX('Entrada de Dados'!I$6:I$196,MATCH($C225,'Entrada de Dados'!$A$6:$A$196,0))</f>
        <v/>
      </c>
      <c r="M225" s="260">
        <f>INDEX('Entrada de Dados'!J$6:J$196,MATCH($C225,'Entrada de Dados'!$A$6:$A$196,0))</f>
        <v/>
      </c>
      <c r="N225" s="260">
        <f>INDEX('Entrada de Dados'!K$6:K$196,MATCH($C225,'Entrada de Dados'!$A$6:$A$196,0))</f>
        <v/>
      </c>
      <c r="O225" s="260">
        <f>INDEX('Entrada de Dados'!L$6:L$196,MATCH($C225,'Entrada de Dados'!$A$6:$A$196,0))</f>
        <v/>
      </c>
      <c r="P225" s="260">
        <f>INDEX('Entrada de Dados'!M$6:M$196,MATCH($C225,'Entrada de Dados'!$A$6:$A$196,0))</f>
        <v/>
      </c>
      <c r="Q225" s="260">
        <f>INDEX('Entrada de Dados'!N$6:N$196,MATCH($C225,'Entrada de Dados'!$A$6:$A$196,0))</f>
        <v/>
      </c>
      <c r="R225" s="260">
        <f>INDEX('Entrada de Dados'!O$6:O$196,MATCH($C225,'Entrada de Dados'!$A$6:$A$196,0))</f>
        <v/>
      </c>
      <c r="S225" s="260">
        <f>INDEX('Entrada de Dados'!P$6:P$196,MATCH($C225,'Entrada de Dados'!$A$6:$A$196,0))</f>
        <v/>
      </c>
      <c r="T225" s="260">
        <f>INDEX('Entrada de Dados'!Q$6:Q$196,MATCH($C225,'Entrada de Dados'!$A$6:$A$196,0))</f>
        <v/>
      </c>
      <c r="U225" s="260">
        <f>INDEX('Entrada de Dados'!R$6:R$196,MATCH($C225,'Entrada de Dados'!$A$6:$A$196,0))</f>
        <v/>
      </c>
      <c r="V225" s="260">
        <f>INDEX('Entrada de Dados'!S$6:S$196,MATCH($C225,'Entrada de Dados'!$A$6:$A$196,0))</f>
        <v/>
      </c>
      <c r="W225" s="260">
        <f>INDEX('Entrada de Dados'!T$6:T$196,MATCH($C225,'Entrada de Dados'!$A$6:$A$196,0))</f>
        <v/>
      </c>
      <c r="X225" s="260">
        <f>INDEX('Entrada de Dados'!U$6:U$196,MATCH($C225,'Entrada de Dados'!$A$6:$A$196,0))</f>
        <v/>
      </c>
    </row>
    <row r="226" ht="15" customHeight="1" s="163">
      <c r="A226" s="258" t="n">
        <v>2</v>
      </c>
      <c r="B226" s="258" t="n"/>
      <c r="C226" s="258" t="inlineStr">
        <is>
          <t>3064</t>
        </is>
      </c>
      <c r="D226" s="259">
        <f>HYPERLINK("#'CEI SAGRADA FAMÍLIA'!A1","CEI SAGRADA FAMÍLIA")</f>
        <v/>
      </c>
      <c r="E226" s="259" t="inlineStr">
        <is>
          <t>CASTELÂNEA</t>
        </is>
      </c>
      <c r="F226" s="260">
        <f>INDEX('Entrada de Dados'!C$6:C$196,MATCH($C226,'Entrada de Dados'!$A$6:$A$196,0))</f>
        <v/>
      </c>
      <c r="G226" s="260">
        <f>INDEX('Entrada de Dados'!D$6:D$196,MATCH($C226,'Entrada de Dados'!$A$6:$A$196,0))</f>
        <v/>
      </c>
      <c r="H226" s="260">
        <f>INDEX('Entrada de Dados'!E$6:E$196,MATCH($C226,'Entrada de Dados'!$A$6:$A$196,0))</f>
        <v/>
      </c>
      <c r="I226" s="260">
        <f>INDEX('Entrada de Dados'!F$6:F$196,MATCH($C226,'Entrada de Dados'!$A$6:$A$196,0))</f>
        <v/>
      </c>
      <c r="J226" s="260">
        <f>INDEX('Entrada de Dados'!G$6:G$196,MATCH($C226,'Entrada de Dados'!$A$6:$A$196,0))</f>
        <v/>
      </c>
      <c r="K226" s="260">
        <f>INDEX('Entrada de Dados'!H$6:H$196,MATCH($C226,'Entrada de Dados'!$A$6:$A$196,0))</f>
        <v/>
      </c>
      <c r="L226" s="260">
        <f>INDEX('Entrada de Dados'!I$6:I$196,MATCH($C226,'Entrada de Dados'!$A$6:$A$196,0))</f>
        <v/>
      </c>
      <c r="M226" s="260">
        <f>INDEX('Entrada de Dados'!J$6:J$196,MATCH($C226,'Entrada de Dados'!$A$6:$A$196,0))</f>
        <v/>
      </c>
      <c r="N226" s="260">
        <f>INDEX('Entrada de Dados'!K$6:K$196,MATCH($C226,'Entrada de Dados'!$A$6:$A$196,0))</f>
        <v/>
      </c>
      <c r="O226" s="260">
        <f>INDEX('Entrada de Dados'!L$6:L$196,MATCH($C226,'Entrada de Dados'!$A$6:$A$196,0))</f>
        <v/>
      </c>
      <c r="P226" s="260">
        <f>INDEX('Entrada de Dados'!M$6:M$196,MATCH($C226,'Entrada de Dados'!$A$6:$A$196,0))</f>
        <v/>
      </c>
      <c r="Q226" s="260">
        <f>INDEX('Entrada de Dados'!N$6:N$196,MATCH($C226,'Entrada de Dados'!$A$6:$A$196,0))</f>
        <v/>
      </c>
      <c r="R226" s="260">
        <f>INDEX('Entrada de Dados'!O$6:O$196,MATCH($C226,'Entrada de Dados'!$A$6:$A$196,0))</f>
        <v/>
      </c>
      <c r="S226" s="260">
        <f>INDEX('Entrada de Dados'!P$6:P$196,MATCH($C226,'Entrada de Dados'!$A$6:$A$196,0))</f>
        <v/>
      </c>
      <c r="T226" s="260">
        <f>INDEX('Entrada de Dados'!Q$6:Q$196,MATCH($C226,'Entrada de Dados'!$A$6:$A$196,0))</f>
        <v/>
      </c>
      <c r="U226" s="260">
        <f>INDEX('Entrada de Dados'!R$6:R$196,MATCH($C226,'Entrada de Dados'!$A$6:$A$196,0))</f>
        <v/>
      </c>
      <c r="V226" s="260">
        <f>INDEX('Entrada de Dados'!S$6:S$196,MATCH($C226,'Entrada de Dados'!$A$6:$A$196,0))</f>
        <v/>
      </c>
      <c r="W226" s="260">
        <f>INDEX('Entrada de Dados'!T$6:T$196,MATCH($C226,'Entrada de Dados'!$A$6:$A$196,0))</f>
        <v/>
      </c>
      <c r="X226" s="260">
        <f>INDEX('Entrada de Dados'!U$6:U$196,MATCH($C226,'Entrada de Dados'!$A$6:$A$196,0))</f>
        <v/>
      </c>
    </row>
    <row r="227" ht="15" customHeight="1" s="163">
      <c r="A227" s="258" t="n">
        <v>3</v>
      </c>
      <c r="B227" s="258" t="n"/>
      <c r="C227" s="258" t="inlineStr">
        <is>
          <t>2025</t>
        </is>
      </c>
      <c r="D227" s="259">
        <f>HYPERLINK("#'ESCOLA SÃO CRISTÓVÃO'!A1","ESCOLA SÃO CRISTÓVÃO")</f>
        <v/>
      </c>
      <c r="E227" s="259" t="inlineStr">
        <is>
          <t>CASTELÂNEA</t>
        </is>
      </c>
      <c r="F227" s="260">
        <f>INDEX('Entrada de Dados'!C$6:C$196,MATCH($C227,'Entrada de Dados'!$A$6:$A$196,0))</f>
        <v/>
      </c>
      <c r="G227" s="260">
        <f>INDEX('Entrada de Dados'!D$6:D$196,MATCH($C227,'Entrada de Dados'!$A$6:$A$196,0))</f>
        <v/>
      </c>
      <c r="H227" s="260">
        <f>INDEX('Entrada de Dados'!E$6:E$196,MATCH($C227,'Entrada de Dados'!$A$6:$A$196,0))</f>
        <v/>
      </c>
      <c r="I227" s="260">
        <f>INDEX('Entrada de Dados'!F$6:F$196,MATCH($C227,'Entrada de Dados'!$A$6:$A$196,0))</f>
        <v/>
      </c>
      <c r="J227" s="260">
        <f>INDEX('Entrada de Dados'!G$6:G$196,MATCH($C227,'Entrada de Dados'!$A$6:$A$196,0))</f>
        <v/>
      </c>
      <c r="K227" s="260">
        <f>INDEX('Entrada de Dados'!H$6:H$196,MATCH($C227,'Entrada de Dados'!$A$6:$A$196,0))</f>
        <v/>
      </c>
      <c r="L227" s="260">
        <f>INDEX('Entrada de Dados'!I$6:I$196,MATCH($C227,'Entrada de Dados'!$A$6:$A$196,0))</f>
        <v/>
      </c>
      <c r="M227" s="260">
        <f>INDEX('Entrada de Dados'!J$6:J$196,MATCH($C227,'Entrada de Dados'!$A$6:$A$196,0))</f>
        <v/>
      </c>
      <c r="N227" s="260">
        <f>INDEX('Entrada de Dados'!K$6:K$196,MATCH($C227,'Entrada de Dados'!$A$6:$A$196,0))</f>
        <v/>
      </c>
      <c r="O227" s="260">
        <f>INDEX('Entrada de Dados'!L$6:L$196,MATCH($C227,'Entrada de Dados'!$A$6:$A$196,0))</f>
        <v/>
      </c>
      <c r="P227" s="260">
        <f>INDEX('Entrada de Dados'!M$6:M$196,MATCH($C227,'Entrada de Dados'!$A$6:$A$196,0))</f>
        <v/>
      </c>
      <c r="Q227" s="260">
        <f>INDEX('Entrada de Dados'!N$6:N$196,MATCH($C227,'Entrada de Dados'!$A$6:$A$196,0))</f>
        <v/>
      </c>
      <c r="R227" s="260">
        <f>INDEX('Entrada de Dados'!O$6:O$196,MATCH($C227,'Entrada de Dados'!$A$6:$A$196,0))</f>
        <v/>
      </c>
      <c r="S227" s="260">
        <f>INDEX('Entrada de Dados'!P$6:P$196,MATCH($C227,'Entrada de Dados'!$A$6:$A$196,0))</f>
        <v/>
      </c>
      <c r="T227" s="260">
        <f>INDEX('Entrada de Dados'!Q$6:Q$196,MATCH($C227,'Entrada de Dados'!$A$6:$A$196,0))</f>
        <v/>
      </c>
      <c r="U227" s="260">
        <f>INDEX('Entrada de Dados'!R$6:R$196,MATCH($C227,'Entrada de Dados'!$A$6:$A$196,0))</f>
        <v/>
      </c>
      <c r="V227" s="260">
        <f>INDEX('Entrada de Dados'!S$6:S$196,MATCH($C227,'Entrada de Dados'!$A$6:$A$196,0))</f>
        <v/>
      </c>
      <c r="W227" s="260">
        <f>INDEX('Entrada de Dados'!T$6:T$196,MATCH($C227,'Entrada de Dados'!$A$6:$A$196,0))</f>
        <v/>
      </c>
      <c r="X227" s="260">
        <f>INDEX('Entrada de Dados'!U$6:U$196,MATCH($C227,'Entrada de Dados'!$A$6:$A$196,0))</f>
        <v/>
      </c>
    </row>
    <row r="228" ht="15" customHeight="1" s="163">
      <c r="A228" s="258" t="n">
        <v>4</v>
      </c>
      <c r="B228" s="258" t="n"/>
      <c r="C228" s="258" t="inlineStr">
        <is>
          <t>3027</t>
        </is>
      </c>
      <c r="D228" s="259">
        <f>HYPERLINK("#'CEI DÉA LÚCIA CORDEIRO'!A1","CEI DÉA LÚCIA CORDEIRO")</f>
        <v/>
      </c>
      <c r="E228" s="259" t="inlineStr">
        <is>
          <t>CASTELÂNEA</t>
        </is>
      </c>
      <c r="F228" s="260">
        <f>INDEX('Entrada de Dados'!C$6:C$196,MATCH($C228,'Entrada de Dados'!$A$6:$A$196,0))</f>
        <v/>
      </c>
      <c r="G228" s="260">
        <f>INDEX('Entrada de Dados'!D$6:D$196,MATCH($C228,'Entrada de Dados'!$A$6:$A$196,0))</f>
        <v/>
      </c>
      <c r="H228" s="260">
        <f>INDEX('Entrada de Dados'!E$6:E$196,MATCH($C228,'Entrada de Dados'!$A$6:$A$196,0))</f>
        <v/>
      </c>
      <c r="I228" s="260">
        <f>INDEX('Entrada de Dados'!F$6:F$196,MATCH($C228,'Entrada de Dados'!$A$6:$A$196,0))</f>
        <v/>
      </c>
      <c r="J228" s="260">
        <f>INDEX('Entrada de Dados'!G$6:G$196,MATCH($C228,'Entrada de Dados'!$A$6:$A$196,0))</f>
        <v/>
      </c>
      <c r="K228" s="260">
        <f>INDEX('Entrada de Dados'!H$6:H$196,MATCH($C228,'Entrada de Dados'!$A$6:$A$196,0))</f>
        <v/>
      </c>
      <c r="L228" s="260">
        <f>INDEX('Entrada de Dados'!I$6:I$196,MATCH($C228,'Entrada de Dados'!$A$6:$A$196,0))</f>
        <v/>
      </c>
      <c r="M228" s="260">
        <f>INDEX('Entrada de Dados'!J$6:J$196,MATCH($C228,'Entrada de Dados'!$A$6:$A$196,0))</f>
        <v/>
      </c>
      <c r="N228" s="260">
        <f>INDEX('Entrada de Dados'!K$6:K$196,MATCH($C228,'Entrada de Dados'!$A$6:$A$196,0))</f>
        <v/>
      </c>
      <c r="O228" s="260">
        <f>INDEX('Entrada de Dados'!L$6:L$196,MATCH($C228,'Entrada de Dados'!$A$6:$A$196,0))</f>
        <v/>
      </c>
      <c r="P228" s="260">
        <f>INDEX('Entrada de Dados'!M$6:M$196,MATCH($C228,'Entrada de Dados'!$A$6:$A$196,0))</f>
        <v/>
      </c>
      <c r="Q228" s="260">
        <f>INDEX('Entrada de Dados'!N$6:N$196,MATCH($C228,'Entrada de Dados'!$A$6:$A$196,0))</f>
        <v/>
      </c>
      <c r="R228" s="260">
        <f>INDEX('Entrada de Dados'!O$6:O$196,MATCH($C228,'Entrada de Dados'!$A$6:$A$196,0))</f>
        <v/>
      </c>
      <c r="S228" s="260">
        <f>INDEX('Entrada de Dados'!P$6:P$196,MATCH($C228,'Entrada de Dados'!$A$6:$A$196,0))</f>
        <v/>
      </c>
      <c r="T228" s="260">
        <f>INDEX('Entrada de Dados'!Q$6:Q$196,MATCH($C228,'Entrada de Dados'!$A$6:$A$196,0))</f>
        <v/>
      </c>
      <c r="U228" s="260">
        <f>INDEX('Entrada de Dados'!R$6:R$196,MATCH($C228,'Entrada de Dados'!$A$6:$A$196,0))</f>
        <v/>
      </c>
      <c r="V228" s="260">
        <f>INDEX('Entrada de Dados'!S$6:S$196,MATCH($C228,'Entrada de Dados'!$A$6:$A$196,0))</f>
        <v/>
      </c>
      <c r="W228" s="260">
        <f>INDEX('Entrada de Dados'!T$6:T$196,MATCH($C228,'Entrada de Dados'!$A$6:$A$196,0))</f>
        <v/>
      </c>
      <c r="X228" s="260">
        <f>INDEX('Entrada de Dados'!U$6:U$196,MATCH($C228,'Entrada de Dados'!$A$6:$A$196,0))</f>
        <v/>
      </c>
    </row>
    <row r="229" ht="15" customHeight="1" s="163">
      <c r="A229" s="258" t="n">
        <v>5</v>
      </c>
      <c r="B229" s="258" t="n"/>
      <c r="C229" s="258" t="inlineStr">
        <is>
          <t>1020</t>
        </is>
      </c>
      <c r="D229" s="259">
        <f>HYPERLINK("#'E M ROBERT KENNEDY'!A1","E M ROBERT KENNEDY")</f>
        <v/>
      </c>
      <c r="E229" s="259" t="inlineStr">
        <is>
          <t>CASTELÂNEA</t>
        </is>
      </c>
      <c r="F229" s="260">
        <f>INDEX('Entrada de Dados'!C$6:C$196,MATCH($C229,'Entrada de Dados'!$A$6:$A$196,0))</f>
        <v/>
      </c>
      <c r="G229" s="260">
        <f>INDEX('Entrada de Dados'!D$6:D$196,MATCH($C229,'Entrada de Dados'!$A$6:$A$196,0))</f>
        <v/>
      </c>
      <c r="H229" s="260">
        <f>INDEX('Entrada de Dados'!E$6:E$196,MATCH($C229,'Entrada de Dados'!$A$6:$A$196,0))</f>
        <v/>
      </c>
      <c r="I229" s="260">
        <f>INDEX('Entrada de Dados'!F$6:F$196,MATCH($C229,'Entrada de Dados'!$A$6:$A$196,0))</f>
        <v/>
      </c>
      <c r="J229" s="260">
        <f>INDEX('Entrada de Dados'!G$6:G$196,MATCH($C229,'Entrada de Dados'!$A$6:$A$196,0))</f>
        <v/>
      </c>
      <c r="K229" s="260">
        <f>INDEX('Entrada de Dados'!H$6:H$196,MATCH($C229,'Entrada de Dados'!$A$6:$A$196,0))</f>
        <v/>
      </c>
      <c r="L229" s="260">
        <f>INDEX('Entrada de Dados'!I$6:I$196,MATCH($C229,'Entrada de Dados'!$A$6:$A$196,0))</f>
        <v/>
      </c>
      <c r="M229" s="260">
        <f>INDEX('Entrada de Dados'!J$6:J$196,MATCH($C229,'Entrada de Dados'!$A$6:$A$196,0))</f>
        <v/>
      </c>
      <c r="N229" s="260">
        <f>INDEX('Entrada de Dados'!K$6:K$196,MATCH($C229,'Entrada de Dados'!$A$6:$A$196,0))</f>
        <v/>
      </c>
      <c r="O229" s="260">
        <f>INDEX('Entrada de Dados'!L$6:L$196,MATCH($C229,'Entrada de Dados'!$A$6:$A$196,0))</f>
        <v/>
      </c>
      <c r="P229" s="260">
        <f>INDEX('Entrada de Dados'!M$6:M$196,MATCH($C229,'Entrada de Dados'!$A$6:$A$196,0))</f>
        <v/>
      </c>
      <c r="Q229" s="260">
        <f>INDEX('Entrada de Dados'!N$6:N$196,MATCH($C229,'Entrada de Dados'!$A$6:$A$196,0))</f>
        <v/>
      </c>
      <c r="R229" s="260">
        <f>INDEX('Entrada de Dados'!O$6:O$196,MATCH($C229,'Entrada de Dados'!$A$6:$A$196,0))</f>
        <v/>
      </c>
      <c r="S229" s="260">
        <f>INDEX('Entrada de Dados'!P$6:P$196,MATCH($C229,'Entrada de Dados'!$A$6:$A$196,0))</f>
        <v/>
      </c>
      <c r="T229" s="260">
        <f>INDEX('Entrada de Dados'!Q$6:Q$196,MATCH($C229,'Entrada de Dados'!$A$6:$A$196,0))</f>
        <v/>
      </c>
      <c r="U229" s="260">
        <f>INDEX('Entrada de Dados'!R$6:R$196,MATCH($C229,'Entrada de Dados'!$A$6:$A$196,0))</f>
        <v/>
      </c>
      <c r="V229" s="260">
        <f>INDEX('Entrada de Dados'!S$6:S$196,MATCH($C229,'Entrada de Dados'!$A$6:$A$196,0))</f>
        <v/>
      </c>
      <c r="W229" s="260">
        <f>INDEX('Entrada de Dados'!T$6:T$196,MATCH($C229,'Entrada de Dados'!$A$6:$A$196,0))</f>
        <v/>
      </c>
      <c r="X229" s="260">
        <f>INDEX('Entrada de Dados'!U$6:U$196,MATCH($C229,'Entrada de Dados'!$A$6:$A$196,0))</f>
        <v/>
      </c>
    </row>
    <row r="230" ht="15" customHeight="1" s="163">
      <c r="A230" s="258" t="n">
        <v>6</v>
      </c>
      <c r="B230" s="258" t="n"/>
      <c r="C230" s="258" t="inlineStr">
        <is>
          <t>4002</t>
        </is>
      </c>
      <c r="D230" s="259">
        <f>HYPERLINK("#'CEI SÃO JOSÉ DAS OBLATAS DE NAZ'!A1","CEI SÃO JOSÉ DAS OBLATAS DE NAZARÉ")</f>
        <v/>
      </c>
      <c r="E230" s="259" t="inlineStr">
        <is>
          <t>CASTELÂNEA</t>
        </is>
      </c>
      <c r="F230" s="260">
        <f>INDEX('Entrada de Dados'!C$6:C$196,MATCH($C230,'Entrada de Dados'!$A$6:$A$196,0))</f>
        <v/>
      </c>
      <c r="G230" s="260">
        <f>INDEX('Entrada de Dados'!D$6:D$196,MATCH($C230,'Entrada de Dados'!$A$6:$A$196,0))</f>
        <v/>
      </c>
      <c r="H230" s="260">
        <f>INDEX('Entrada de Dados'!E$6:E$196,MATCH($C230,'Entrada de Dados'!$A$6:$A$196,0))</f>
        <v/>
      </c>
      <c r="I230" s="260">
        <f>INDEX('Entrada de Dados'!F$6:F$196,MATCH($C230,'Entrada de Dados'!$A$6:$A$196,0))</f>
        <v/>
      </c>
      <c r="J230" s="260">
        <f>INDEX('Entrada de Dados'!G$6:G$196,MATCH($C230,'Entrada de Dados'!$A$6:$A$196,0))</f>
        <v/>
      </c>
      <c r="K230" s="260">
        <f>INDEX('Entrada de Dados'!H$6:H$196,MATCH($C230,'Entrada de Dados'!$A$6:$A$196,0))</f>
        <v/>
      </c>
      <c r="L230" s="260">
        <f>INDEX('Entrada de Dados'!I$6:I$196,MATCH($C230,'Entrada de Dados'!$A$6:$A$196,0))</f>
        <v/>
      </c>
      <c r="M230" s="260">
        <f>INDEX('Entrada de Dados'!J$6:J$196,MATCH($C230,'Entrada de Dados'!$A$6:$A$196,0))</f>
        <v/>
      </c>
      <c r="N230" s="260">
        <f>INDEX('Entrada de Dados'!K$6:K$196,MATCH($C230,'Entrada de Dados'!$A$6:$A$196,0))</f>
        <v/>
      </c>
      <c r="O230" s="260">
        <f>INDEX('Entrada de Dados'!L$6:L$196,MATCH($C230,'Entrada de Dados'!$A$6:$A$196,0))</f>
        <v/>
      </c>
      <c r="P230" s="260">
        <f>INDEX('Entrada de Dados'!M$6:M$196,MATCH($C230,'Entrada de Dados'!$A$6:$A$196,0))</f>
        <v/>
      </c>
      <c r="Q230" s="260">
        <f>INDEX('Entrada de Dados'!N$6:N$196,MATCH($C230,'Entrada de Dados'!$A$6:$A$196,0))</f>
        <v/>
      </c>
      <c r="R230" s="260">
        <f>INDEX('Entrada de Dados'!O$6:O$196,MATCH($C230,'Entrada de Dados'!$A$6:$A$196,0))</f>
        <v/>
      </c>
      <c r="S230" s="260">
        <f>INDEX('Entrada de Dados'!P$6:P$196,MATCH($C230,'Entrada de Dados'!$A$6:$A$196,0))</f>
        <v/>
      </c>
      <c r="T230" s="260">
        <f>INDEX('Entrada de Dados'!Q$6:Q$196,MATCH($C230,'Entrada de Dados'!$A$6:$A$196,0))</f>
        <v/>
      </c>
      <c r="U230" s="260">
        <f>INDEX('Entrada de Dados'!R$6:R$196,MATCH($C230,'Entrada de Dados'!$A$6:$A$196,0))</f>
        <v/>
      </c>
      <c r="V230" s="260">
        <f>INDEX('Entrada de Dados'!S$6:S$196,MATCH($C230,'Entrada de Dados'!$A$6:$A$196,0))</f>
        <v/>
      </c>
      <c r="W230" s="260">
        <f>INDEX('Entrada de Dados'!T$6:T$196,MATCH($C230,'Entrada de Dados'!$A$6:$A$196,0))</f>
        <v/>
      </c>
      <c r="X230" s="260">
        <f>INDEX('Entrada de Dados'!U$6:U$196,MATCH($C230,'Entrada de Dados'!$A$6:$A$196,0))</f>
        <v/>
      </c>
    </row>
    <row r="231" ht="15" customHeight="1" s="163">
      <c r="A231" s="261" t="n">
        <v>7</v>
      </c>
      <c r="B231" s="261" t="inlineStr">
        <is>
          <t>A</t>
        </is>
      </c>
      <c r="C231" s="262" t="inlineStr">
        <is>
          <t>1107</t>
        </is>
      </c>
      <c r="D231" s="263">
        <f>HYPERLINK("#'E M DR RUBENS DE CASTRO BOMTEMP'!A1","E M DR RUBENS DE CASTRO BOMTEMPO")</f>
        <v/>
      </c>
      <c r="E231" s="263" t="inlineStr">
        <is>
          <t>CHÁCARA FLORA</t>
        </is>
      </c>
      <c r="F231" s="264">
        <f>INDEX('Entrada de Dados'!C$6:C$196,MATCH($C231,'Entrada de Dados'!$A$6:$A$196,0))</f>
        <v/>
      </c>
      <c r="G231" s="264">
        <f>INDEX('Entrada de Dados'!D$6:D$196,MATCH($C231,'Entrada de Dados'!$A$6:$A$196,0))</f>
        <v/>
      </c>
      <c r="H231" s="264">
        <f>INDEX('Entrada de Dados'!E$6:E$196,MATCH($C231,'Entrada de Dados'!$A$6:$A$196,0))</f>
        <v/>
      </c>
      <c r="I231" s="264">
        <f>INDEX('Entrada de Dados'!F$6:F$196,MATCH($C231,'Entrada de Dados'!$A$6:$A$196,0))</f>
        <v/>
      </c>
      <c r="J231" s="264">
        <f>INDEX('Entrada de Dados'!G$6:G$196,MATCH($C231,'Entrada de Dados'!$A$6:$A$196,0))</f>
        <v/>
      </c>
      <c r="K231" s="264">
        <f>INDEX('Entrada de Dados'!H$6:H$196,MATCH($C231,'Entrada de Dados'!$A$6:$A$196,0))</f>
        <v/>
      </c>
      <c r="L231" s="264">
        <f>INDEX('Entrada de Dados'!I$6:I$196,MATCH($C231,'Entrada de Dados'!$A$6:$A$196,0))</f>
        <v/>
      </c>
      <c r="M231" s="264">
        <f>INDEX('Entrada de Dados'!J$6:J$196,MATCH($C231,'Entrada de Dados'!$A$6:$A$196,0))</f>
        <v/>
      </c>
      <c r="N231" s="264">
        <f>INDEX('Entrada de Dados'!K$6:K$196,MATCH($C231,'Entrada de Dados'!$A$6:$A$196,0))</f>
        <v/>
      </c>
      <c r="O231" s="264">
        <f>INDEX('Entrada de Dados'!L$6:L$196,MATCH($C231,'Entrada de Dados'!$A$6:$A$196,0))</f>
        <v/>
      </c>
      <c r="P231" s="264">
        <f>INDEX('Entrada de Dados'!M$6:M$196,MATCH($C231,'Entrada de Dados'!$A$6:$A$196,0))</f>
        <v/>
      </c>
      <c r="Q231" s="264">
        <f>INDEX('Entrada de Dados'!N$6:N$196,MATCH($C231,'Entrada de Dados'!$A$6:$A$196,0))</f>
        <v/>
      </c>
      <c r="R231" s="264">
        <f>INDEX('Entrada de Dados'!O$6:O$196,MATCH($C231,'Entrada de Dados'!$A$6:$A$196,0))</f>
        <v/>
      </c>
      <c r="S231" s="264">
        <f>INDEX('Entrada de Dados'!P$6:P$196,MATCH($C231,'Entrada de Dados'!$A$6:$A$196,0))</f>
        <v/>
      </c>
      <c r="T231" s="264">
        <f>INDEX('Entrada de Dados'!Q$6:Q$196,MATCH($C231,'Entrada de Dados'!$A$6:$A$196,0))</f>
        <v/>
      </c>
      <c r="U231" s="264">
        <f>INDEX('Entrada de Dados'!R$6:R$196,MATCH($C231,'Entrada de Dados'!$A$6:$A$196,0))</f>
        <v/>
      </c>
      <c r="V231" s="264">
        <f>INDEX('Entrada de Dados'!S$6:S$196,MATCH($C231,'Entrada de Dados'!$A$6:$A$196,0))</f>
        <v/>
      </c>
      <c r="W231" s="264">
        <f>INDEX('Entrada de Dados'!T$6:T$196,MATCH($C231,'Entrada de Dados'!$A$6:$A$196,0))</f>
        <v/>
      </c>
      <c r="X231" s="264">
        <f>INDEX('Entrada de Dados'!U$6:U$196,MATCH($C231,'Entrada de Dados'!$A$6:$A$196,0))</f>
        <v/>
      </c>
    </row>
    <row r="232" ht="15" customHeight="1" s="163">
      <c r="A232" s="261" t="n">
        <v>7</v>
      </c>
      <c r="B232" s="261" t="inlineStr">
        <is>
          <t>B</t>
        </is>
      </c>
      <c r="C232" s="262" t="inlineStr">
        <is>
          <t>3008</t>
        </is>
      </c>
      <c r="D232" s="263">
        <f>HYPERLINK("#'CEI FREI LEÃO'!A1","CEI FREI LEÃO")</f>
        <v/>
      </c>
      <c r="E232" s="263" t="inlineStr">
        <is>
          <t>CHÁCARA FLORA</t>
        </is>
      </c>
      <c r="F232" s="264">
        <f>INDEX('Entrada de Dados'!C$6:C$196,MATCH($C232,'Entrada de Dados'!$A$6:$A$196,0))</f>
        <v/>
      </c>
      <c r="G232" s="264">
        <f>INDEX('Entrada de Dados'!D$6:D$196,MATCH($C232,'Entrada de Dados'!$A$6:$A$196,0))</f>
        <v/>
      </c>
      <c r="H232" s="264">
        <f>INDEX('Entrada de Dados'!E$6:E$196,MATCH($C232,'Entrada de Dados'!$A$6:$A$196,0))</f>
        <v/>
      </c>
      <c r="I232" s="264">
        <f>INDEX('Entrada de Dados'!F$6:F$196,MATCH($C232,'Entrada de Dados'!$A$6:$A$196,0))</f>
        <v/>
      </c>
      <c r="J232" s="264">
        <f>INDEX('Entrada de Dados'!G$6:G$196,MATCH($C232,'Entrada de Dados'!$A$6:$A$196,0))</f>
        <v/>
      </c>
      <c r="K232" s="264">
        <f>INDEX('Entrada de Dados'!H$6:H$196,MATCH($C232,'Entrada de Dados'!$A$6:$A$196,0))</f>
        <v/>
      </c>
      <c r="L232" s="264">
        <f>INDEX('Entrada de Dados'!I$6:I$196,MATCH($C232,'Entrada de Dados'!$A$6:$A$196,0))</f>
        <v/>
      </c>
      <c r="M232" s="264">
        <f>INDEX('Entrada de Dados'!J$6:J$196,MATCH($C232,'Entrada de Dados'!$A$6:$A$196,0))</f>
        <v/>
      </c>
      <c r="N232" s="264">
        <f>INDEX('Entrada de Dados'!K$6:K$196,MATCH($C232,'Entrada de Dados'!$A$6:$A$196,0))</f>
        <v/>
      </c>
      <c r="O232" s="264">
        <f>INDEX('Entrada de Dados'!L$6:L$196,MATCH($C232,'Entrada de Dados'!$A$6:$A$196,0))</f>
        <v/>
      </c>
      <c r="P232" s="264">
        <f>INDEX('Entrada de Dados'!M$6:M$196,MATCH($C232,'Entrada de Dados'!$A$6:$A$196,0))</f>
        <v/>
      </c>
      <c r="Q232" s="264">
        <f>INDEX('Entrada de Dados'!N$6:N$196,MATCH($C232,'Entrada de Dados'!$A$6:$A$196,0))</f>
        <v/>
      </c>
      <c r="R232" s="264">
        <f>INDEX('Entrada de Dados'!O$6:O$196,MATCH($C232,'Entrada de Dados'!$A$6:$A$196,0))</f>
        <v/>
      </c>
      <c r="S232" s="264">
        <f>INDEX('Entrada de Dados'!P$6:P$196,MATCH($C232,'Entrada de Dados'!$A$6:$A$196,0))</f>
        <v/>
      </c>
      <c r="T232" s="264">
        <f>INDEX('Entrada de Dados'!Q$6:Q$196,MATCH($C232,'Entrada de Dados'!$A$6:$A$196,0))</f>
        <v/>
      </c>
      <c r="U232" s="264">
        <f>INDEX('Entrada de Dados'!R$6:R$196,MATCH($C232,'Entrada de Dados'!$A$6:$A$196,0))</f>
        <v/>
      </c>
      <c r="V232" s="264">
        <f>INDEX('Entrada de Dados'!S$6:S$196,MATCH($C232,'Entrada de Dados'!$A$6:$A$196,0))</f>
        <v/>
      </c>
      <c r="W232" s="264">
        <f>INDEX('Entrada de Dados'!T$6:T$196,MATCH($C232,'Entrada de Dados'!$A$6:$A$196,0))</f>
        <v/>
      </c>
      <c r="X232" s="264">
        <f>INDEX('Entrada de Dados'!U$6:U$196,MATCH($C232,'Entrada de Dados'!$A$6:$A$196,0))</f>
        <v/>
      </c>
    </row>
    <row r="233" ht="15" customHeight="1" s="163">
      <c r="A233" s="258" t="n">
        <v>8</v>
      </c>
      <c r="B233" s="258" t="n"/>
      <c r="C233" s="258" t="inlineStr">
        <is>
          <t>1022</t>
        </is>
      </c>
      <c r="D233" s="259">
        <f>HYPERLINK("#'E M ROSALINA NICOLAY'!A1","E M ROSALINA NICOLAY")</f>
        <v/>
      </c>
      <c r="E233" s="259" t="inlineStr">
        <is>
          <t>SIMÉRIA</t>
        </is>
      </c>
      <c r="F233" s="260">
        <f>INDEX('Entrada de Dados'!C$6:C$196,MATCH($C233,'Entrada de Dados'!$A$6:$A$196,0))</f>
        <v/>
      </c>
      <c r="G233" s="260">
        <f>INDEX('Entrada de Dados'!D$6:D$196,MATCH($C233,'Entrada de Dados'!$A$6:$A$196,0))</f>
        <v/>
      </c>
      <c r="H233" s="260">
        <f>INDEX('Entrada de Dados'!E$6:E$196,MATCH($C233,'Entrada de Dados'!$A$6:$A$196,0))</f>
        <v/>
      </c>
      <c r="I233" s="260">
        <f>INDEX('Entrada de Dados'!F$6:F$196,MATCH($C233,'Entrada de Dados'!$A$6:$A$196,0))</f>
        <v/>
      </c>
      <c r="J233" s="260">
        <f>INDEX('Entrada de Dados'!G$6:G$196,MATCH($C233,'Entrada de Dados'!$A$6:$A$196,0))</f>
        <v/>
      </c>
      <c r="K233" s="260">
        <f>INDEX('Entrada de Dados'!H$6:H$196,MATCH($C233,'Entrada de Dados'!$A$6:$A$196,0))</f>
        <v/>
      </c>
      <c r="L233" s="260">
        <f>INDEX('Entrada de Dados'!I$6:I$196,MATCH($C233,'Entrada de Dados'!$A$6:$A$196,0))</f>
        <v/>
      </c>
      <c r="M233" s="260">
        <f>INDEX('Entrada de Dados'!J$6:J$196,MATCH($C233,'Entrada de Dados'!$A$6:$A$196,0))</f>
        <v/>
      </c>
      <c r="N233" s="260">
        <f>INDEX('Entrada de Dados'!K$6:K$196,MATCH($C233,'Entrada de Dados'!$A$6:$A$196,0))</f>
        <v/>
      </c>
      <c r="O233" s="260">
        <f>INDEX('Entrada de Dados'!L$6:L$196,MATCH($C233,'Entrada de Dados'!$A$6:$A$196,0))</f>
        <v/>
      </c>
      <c r="P233" s="260">
        <f>INDEX('Entrada de Dados'!M$6:M$196,MATCH($C233,'Entrada de Dados'!$A$6:$A$196,0))</f>
        <v/>
      </c>
      <c r="Q233" s="260">
        <f>INDEX('Entrada de Dados'!N$6:N$196,MATCH($C233,'Entrada de Dados'!$A$6:$A$196,0))</f>
        <v/>
      </c>
      <c r="R233" s="260">
        <f>INDEX('Entrada de Dados'!O$6:O$196,MATCH($C233,'Entrada de Dados'!$A$6:$A$196,0))</f>
        <v/>
      </c>
      <c r="S233" s="260">
        <f>INDEX('Entrada de Dados'!P$6:P$196,MATCH($C233,'Entrada de Dados'!$A$6:$A$196,0))</f>
        <v/>
      </c>
      <c r="T233" s="260">
        <f>INDEX('Entrada de Dados'!Q$6:Q$196,MATCH($C233,'Entrada de Dados'!$A$6:$A$196,0))</f>
        <v/>
      </c>
      <c r="U233" s="260">
        <f>INDEX('Entrada de Dados'!R$6:R$196,MATCH($C233,'Entrada de Dados'!$A$6:$A$196,0))</f>
        <v/>
      </c>
      <c r="V233" s="260">
        <f>INDEX('Entrada de Dados'!S$6:S$196,MATCH($C233,'Entrada de Dados'!$A$6:$A$196,0))</f>
        <v/>
      </c>
      <c r="W233" s="260">
        <f>INDEX('Entrada de Dados'!T$6:T$196,MATCH($C233,'Entrada de Dados'!$A$6:$A$196,0))</f>
        <v/>
      </c>
      <c r="X233" s="260">
        <f>INDEX('Entrada de Dados'!U$6:U$196,MATCH($C233,'Entrada de Dados'!$A$6:$A$196,0))</f>
        <v/>
      </c>
    </row>
    <row r="234" ht="15" customHeight="1" s="163">
      <c r="A234" s="258" t="n">
        <v>9</v>
      </c>
      <c r="B234" s="258" t="n"/>
      <c r="C234" s="258" t="inlineStr">
        <is>
          <t>3017</t>
        </is>
      </c>
      <c r="D234" s="259">
        <f>HYPERLINK("#'CEI INÊS BELARMINO DE SOUZA'!A1","CEI INÊS BELARMINO DE SOUZA")</f>
        <v/>
      </c>
      <c r="E234" s="259" t="inlineStr">
        <is>
          <t>SIMÉRIA</t>
        </is>
      </c>
      <c r="F234" s="260">
        <f>INDEX('Entrada de Dados'!C$6:C$196,MATCH($C234,'Entrada de Dados'!$A$6:$A$196,0))</f>
        <v/>
      </c>
      <c r="G234" s="260">
        <f>INDEX('Entrada de Dados'!D$6:D$196,MATCH($C234,'Entrada de Dados'!$A$6:$A$196,0))</f>
        <v/>
      </c>
      <c r="H234" s="260">
        <f>INDEX('Entrada de Dados'!E$6:E$196,MATCH($C234,'Entrada de Dados'!$A$6:$A$196,0))</f>
        <v/>
      </c>
      <c r="I234" s="260">
        <f>INDEX('Entrada de Dados'!F$6:F$196,MATCH($C234,'Entrada de Dados'!$A$6:$A$196,0))</f>
        <v/>
      </c>
      <c r="J234" s="260">
        <f>INDEX('Entrada de Dados'!G$6:G$196,MATCH($C234,'Entrada de Dados'!$A$6:$A$196,0))</f>
        <v/>
      </c>
      <c r="K234" s="260">
        <f>INDEX('Entrada de Dados'!H$6:H$196,MATCH($C234,'Entrada de Dados'!$A$6:$A$196,0))</f>
        <v/>
      </c>
      <c r="L234" s="260">
        <f>INDEX('Entrada de Dados'!I$6:I$196,MATCH($C234,'Entrada de Dados'!$A$6:$A$196,0))</f>
        <v/>
      </c>
      <c r="M234" s="260">
        <f>INDEX('Entrada de Dados'!J$6:J$196,MATCH($C234,'Entrada de Dados'!$A$6:$A$196,0))</f>
        <v/>
      </c>
      <c r="N234" s="260">
        <f>INDEX('Entrada de Dados'!K$6:K$196,MATCH($C234,'Entrada de Dados'!$A$6:$A$196,0))</f>
        <v/>
      </c>
      <c r="O234" s="260">
        <f>INDEX('Entrada de Dados'!L$6:L$196,MATCH($C234,'Entrada de Dados'!$A$6:$A$196,0))</f>
        <v/>
      </c>
      <c r="P234" s="260">
        <f>INDEX('Entrada de Dados'!M$6:M$196,MATCH($C234,'Entrada de Dados'!$A$6:$A$196,0))</f>
        <v/>
      </c>
      <c r="Q234" s="260">
        <f>INDEX('Entrada de Dados'!N$6:N$196,MATCH($C234,'Entrada de Dados'!$A$6:$A$196,0))</f>
        <v/>
      </c>
      <c r="R234" s="260">
        <f>INDEX('Entrada de Dados'!O$6:O$196,MATCH($C234,'Entrada de Dados'!$A$6:$A$196,0))</f>
        <v/>
      </c>
      <c r="S234" s="260">
        <f>INDEX('Entrada de Dados'!P$6:P$196,MATCH($C234,'Entrada de Dados'!$A$6:$A$196,0))</f>
        <v/>
      </c>
      <c r="T234" s="260">
        <f>INDEX('Entrada de Dados'!Q$6:Q$196,MATCH($C234,'Entrada de Dados'!$A$6:$A$196,0))</f>
        <v/>
      </c>
      <c r="U234" s="260">
        <f>INDEX('Entrada de Dados'!R$6:R$196,MATCH($C234,'Entrada de Dados'!$A$6:$A$196,0))</f>
        <v/>
      </c>
      <c r="V234" s="260">
        <f>INDEX('Entrada de Dados'!S$6:S$196,MATCH($C234,'Entrada de Dados'!$A$6:$A$196,0))</f>
        <v/>
      </c>
      <c r="W234" s="260">
        <f>INDEX('Entrada de Dados'!T$6:T$196,MATCH($C234,'Entrada de Dados'!$A$6:$A$196,0))</f>
        <v/>
      </c>
      <c r="X234" s="260">
        <f>INDEX('Entrada de Dados'!U$6:U$196,MATCH($C234,'Entrada de Dados'!$A$6:$A$196,0))</f>
        <v/>
      </c>
    </row>
    <row r="235" ht="21.75" customHeight="1" s="163">
      <c r="A235" s="265" t="inlineStr">
        <is>
          <t>Peso previsto:</t>
        </is>
      </c>
      <c r="C235" s="266">
        <f>SUM(F225:F234)+SUM(G225:G234)+SUM(H225:H234)+SUM(I225:I234)+SUM(J225:J234)+SUM(K225:K234)+SUM(L225:L234)+SUM(M225:M234)+SUM(N225:N234)+SUM(O225:O234)+SUM(P225:P234)+SUM(Q225:Q234)+SUM(R225:R234)+SUM(S225:S234)+SUM(T225:T234)+SUM(U225:U234)+SUM(W225:W234)+SUM(X225:X234)</f>
        <v/>
      </c>
      <c r="D235" s="265" t="inlineStr">
        <is>
          <t>Peso embarcado (kg):</t>
        </is>
      </c>
      <c r="F235" s="267" t="n"/>
      <c r="G235" s="265" t="inlineStr">
        <is>
          <t>Veículo:</t>
        </is>
      </c>
      <c r="I235" s="267" t="n"/>
      <c r="J235" s="268" t="n"/>
      <c r="K235" s="265" t="inlineStr">
        <is>
          <t>Motorista:</t>
        </is>
      </c>
      <c r="M235" s="267" t="n"/>
      <c r="N235" s="269" t="n"/>
      <c r="O235" s="269" t="n"/>
      <c r="P235" s="269" t="n"/>
      <c r="Q235" s="269" t="n"/>
      <c r="R235" s="269" t="n"/>
      <c r="S235" s="269" t="n"/>
      <c r="T235" s="269" t="n"/>
      <c r="U235" s="269" t="n"/>
      <c r="V235" s="269" t="n"/>
      <c r="W235" s="269" t="n"/>
      <c r="X235" s="268" t="n"/>
    </row>
    <row r="237" ht="19.5" customHeight="1" s="163">
      <c r="A237" s="186" t="inlineStr">
        <is>
          <t>ROTA T6 — INDEPENDÊNCIA - ALTO INDEPENDÊNCIA - SÃO SEBASTIÃO · KOMBI · 10 escolas · 10 paradas físicas</t>
        </is>
      </c>
    </row>
    <row r="238" ht="25.5" customHeight="1" s="163">
      <c r="A238" s="256" t="inlineStr">
        <is>
          <t>Sequência-base: Galpão Itaipava &gt; Independência &gt; Alto Independência &gt; São Sebastião &gt; Galpão   Atenção: Morro, ruas estreitas e pontos de manobra limitados. Confirmar acesso em campo antes da primeira entrega.</t>
        </is>
      </c>
    </row>
    <row r="239" ht="30" customHeight="1" s="163">
      <c r="A239" s="257" t="inlineStr">
        <is>
          <t>PAR.</t>
        </is>
      </c>
      <c r="B239" s="257" t="inlineStr">
        <is>
          <t>SUB</t>
        </is>
      </c>
      <c r="C239" s="257" t="inlineStr">
        <is>
          <t>CÓDIGO</t>
        </is>
      </c>
      <c r="D239" s="257" t="inlineStr">
        <is>
          <t>ESCOLA</t>
        </is>
      </c>
      <c r="E239" s="257" t="inlineStr">
        <is>
          <t>BAIRRO/CORREDOR</t>
        </is>
      </c>
      <c r="F239" s="257" t="inlineStr">
        <is>
          <t>Abacate</t>
        </is>
      </c>
      <c r="G239" s="257" t="inlineStr">
        <is>
          <t>Abobrinha</t>
        </is>
      </c>
      <c r="H239" s="257" t="inlineStr">
        <is>
          <t>Agrião</t>
        </is>
      </c>
      <c r="I239" s="257" t="inlineStr">
        <is>
          <t>Alface lisa</t>
        </is>
      </c>
      <c r="J239" s="257" t="inlineStr">
        <is>
          <t>Banana prata</t>
        </is>
      </c>
      <c r="K239" s="257" t="inlineStr">
        <is>
          <t>Batata inglesa</t>
        </is>
      </c>
      <c r="L239" s="257" t="inlineStr">
        <is>
          <t>Beterraba</t>
        </is>
      </c>
      <c r="M239" s="257" t="inlineStr">
        <is>
          <t>Brócolis</t>
        </is>
      </c>
      <c r="N239" s="257" t="inlineStr">
        <is>
          <t>Cenoura</t>
        </is>
      </c>
      <c r="O239" s="257" t="inlineStr">
        <is>
          <t>Cheiro verde</t>
        </is>
      </c>
      <c r="P239" s="257" t="inlineStr">
        <is>
          <t>Chuchu</t>
        </is>
      </c>
      <c r="Q239" s="257" t="inlineStr">
        <is>
          <t>Couve manteiga</t>
        </is>
      </c>
      <c r="R239" s="257" t="inlineStr">
        <is>
          <t>Couve-flor</t>
        </is>
      </c>
      <c r="S239" s="257" t="inlineStr">
        <is>
          <t>Espinafre</t>
        </is>
      </c>
      <c r="T239" s="257" t="inlineStr">
        <is>
          <t>Maçã gala</t>
        </is>
      </c>
      <c r="U239" s="257" t="inlineStr">
        <is>
          <t>Mel</t>
        </is>
      </c>
      <c r="V239" s="257" t="inlineStr">
        <is>
          <t>Ovos (dz)</t>
        </is>
      </c>
      <c r="W239" s="257" t="inlineStr">
        <is>
          <t>Repolho</t>
        </is>
      </c>
      <c r="X239" s="257" t="inlineStr">
        <is>
          <t>Tangerina ponkan</t>
        </is>
      </c>
    </row>
    <row r="240" ht="15" customHeight="1" s="163">
      <c r="A240" s="258" t="n">
        <v>1</v>
      </c>
      <c r="B240" s="258" t="n"/>
      <c r="C240" s="258" t="inlineStr">
        <is>
          <t>3040</t>
        </is>
      </c>
      <c r="D240" s="259">
        <f>HYPERLINK("#'CEI CÉLIA LÔBO PAULO'!A1","CEI CÉLIA LÔBO PAULO")</f>
        <v/>
      </c>
      <c r="E240" s="259" t="inlineStr">
        <is>
          <t>INDEPENDÊNCIA</t>
        </is>
      </c>
      <c r="F240" s="260">
        <f>INDEX('Entrada de Dados'!C$6:C$196,MATCH($C240,'Entrada de Dados'!$A$6:$A$196,0))</f>
        <v/>
      </c>
      <c r="G240" s="260">
        <f>INDEX('Entrada de Dados'!D$6:D$196,MATCH($C240,'Entrada de Dados'!$A$6:$A$196,0))</f>
        <v/>
      </c>
      <c r="H240" s="260">
        <f>INDEX('Entrada de Dados'!E$6:E$196,MATCH($C240,'Entrada de Dados'!$A$6:$A$196,0))</f>
        <v/>
      </c>
      <c r="I240" s="260">
        <f>INDEX('Entrada de Dados'!F$6:F$196,MATCH($C240,'Entrada de Dados'!$A$6:$A$196,0))</f>
        <v/>
      </c>
      <c r="J240" s="260">
        <f>INDEX('Entrada de Dados'!G$6:G$196,MATCH($C240,'Entrada de Dados'!$A$6:$A$196,0))</f>
        <v/>
      </c>
      <c r="K240" s="260">
        <f>INDEX('Entrada de Dados'!H$6:H$196,MATCH($C240,'Entrada de Dados'!$A$6:$A$196,0))</f>
        <v/>
      </c>
      <c r="L240" s="260">
        <f>INDEX('Entrada de Dados'!I$6:I$196,MATCH($C240,'Entrada de Dados'!$A$6:$A$196,0))</f>
        <v/>
      </c>
      <c r="M240" s="260">
        <f>INDEX('Entrada de Dados'!J$6:J$196,MATCH($C240,'Entrada de Dados'!$A$6:$A$196,0))</f>
        <v/>
      </c>
      <c r="N240" s="260">
        <f>INDEX('Entrada de Dados'!K$6:K$196,MATCH($C240,'Entrada de Dados'!$A$6:$A$196,0))</f>
        <v/>
      </c>
      <c r="O240" s="260">
        <f>INDEX('Entrada de Dados'!L$6:L$196,MATCH($C240,'Entrada de Dados'!$A$6:$A$196,0))</f>
        <v/>
      </c>
      <c r="P240" s="260">
        <f>INDEX('Entrada de Dados'!M$6:M$196,MATCH($C240,'Entrada de Dados'!$A$6:$A$196,0))</f>
        <v/>
      </c>
      <c r="Q240" s="260">
        <f>INDEX('Entrada de Dados'!N$6:N$196,MATCH($C240,'Entrada de Dados'!$A$6:$A$196,0))</f>
        <v/>
      </c>
      <c r="R240" s="260">
        <f>INDEX('Entrada de Dados'!O$6:O$196,MATCH($C240,'Entrada de Dados'!$A$6:$A$196,0))</f>
        <v/>
      </c>
      <c r="S240" s="260">
        <f>INDEX('Entrada de Dados'!P$6:P$196,MATCH($C240,'Entrada de Dados'!$A$6:$A$196,0))</f>
        <v/>
      </c>
      <c r="T240" s="260">
        <f>INDEX('Entrada de Dados'!Q$6:Q$196,MATCH($C240,'Entrada de Dados'!$A$6:$A$196,0))</f>
        <v/>
      </c>
      <c r="U240" s="260">
        <f>INDEX('Entrada de Dados'!R$6:R$196,MATCH($C240,'Entrada de Dados'!$A$6:$A$196,0))</f>
        <v/>
      </c>
      <c r="V240" s="260">
        <f>INDEX('Entrada de Dados'!S$6:S$196,MATCH($C240,'Entrada de Dados'!$A$6:$A$196,0))</f>
        <v/>
      </c>
      <c r="W240" s="260">
        <f>INDEX('Entrada de Dados'!T$6:T$196,MATCH($C240,'Entrada de Dados'!$A$6:$A$196,0))</f>
        <v/>
      </c>
      <c r="X240" s="260">
        <f>INDEX('Entrada de Dados'!U$6:U$196,MATCH($C240,'Entrada de Dados'!$A$6:$A$196,0))</f>
        <v/>
      </c>
    </row>
    <row r="241" ht="15" customHeight="1" s="163">
      <c r="A241" s="258" t="n">
        <v>2</v>
      </c>
      <c r="B241" s="258" t="n"/>
      <c r="C241" s="258" t="inlineStr">
        <is>
          <t>1089</t>
        </is>
      </c>
      <c r="D241" s="259">
        <f>HYPERLINK("#'E M PROFª MARIA DA GLÓRIA QUEIR'!A1","E M PROFª MARIA DA GLÓRIA QUEIROZ DE VASCONCELLOS")</f>
        <v/>
      </c>
      <c r="E241" s="259" t="inlineStr">
        <is>
          <t>INDEPENDÊNCIA</t>
        </is>
      </c>
      <c r="F241" s="260">
        <f>INDEX('Entrada de Dados'!C$6:C$196,MATCH($C241,'Entrada de Dados'!$A$6:$A$196,0))</f>
        <v/>
      </c>
      <c r="G241" s="260">
        <f>INDEX('Entrada de Dados'!D$6:D$196,MATCH($C241,'Entrada de Dados'!$A$6:$A$196,0))</f>
        <v/>
      </c>
      <c r="H241" s="260">
        <f>INDEX('Entrada de Dados'!E$6:E$196,MATCH($C241,'Entrada de Dados'!$A$6:$A$196,0))</f>
        <v/>
      </c>
      <c r="I241" s="260">
        <f>INDEX('Entrada de Dados'!F$6:F$196,MATCH($C241,'Entrada de Dados'!$A$6:$A$196,0))</f>
        <v/>
      </c>
      <c r="J241" s="260">
        <f>INDEX('Entrada de Dados'!G$6:G$196,MATCH($C241,'Entrada de Dados'!$A$6:$A$196,0))</f>
        <v/>
      </c>
      <c r="K241" s="260">
        <f>INDEX('Entrada de Dados'!H$6:H$196,MATCH($C241,'Entrada de Dados'!$A$6:$A$196,0))</f>
        <v/>
      </c>
      <c r="L241" s="260">
        <f>INDEX('Entrada de Dados'!I$6:I$196,MATCH($C241,'Entrada de Dados'!$A$6:$A$196,0))</f>
        <v/>
      </c>
      <c r="M241" s="260">
        <f>INDEX('Entrada de Dados'!J$6:J$196,MATCH($C241,'Entrada de Dados'!$A$6:$A$196,0))</f>
        <v/>
      </c>
      <c r="N241" s="260">
        <f>INDEX('Entrada de Dados'!K$6:K$196,MATCH($C241,'Entrada de Dados'!$A$6:$A$196,0))</f>
        <v/>
      </c>
      <c r="O241" s="260">
        <f>INDEX('Entrada de Dados'!L$6:L$196,MATCH($C241,'Entrada de Dados'!$A$6:$A$196,0))</f>
        <v/>
      </c>
      <c r="P241" s="260">
        <f>INDEX('Entrada de Dados'!M$6:M$196,MATCH($C241,'Entrada de Dados'!$A$6:$A$196,0))</f>
        <v/>
      </c>
      <c r="Q241" s="260">
        <f>INDEX('Entrada de Dados'!N$6:N$196,MATCH($C241,'Entrada de Dados'!$A$6:$A$196,0))</f>
        <v/>
      </c>
      <c r="R241" s="260">
        <f>INDEX('Entrada de Dados'!O$6:O$196,MATCH($C241,'Entrada de Dados'!$A$6:$A$196,0))</f>
        <v/>
      </c>
      <c r="S241" s="260">
        <f>INDEX('Entrada de Dados'!P$6:P$196,MATCH($C241,'Entrada de Dados'!$A$6:$A$196,0))</f>
        <v/>
      </c>
      <c r="T241" s="260">
        <f>INDEX('Entrada de Dados'!Q$6:Q$196,MATCH($C241,'Entrada de Dados'!$A$6:$A$196,0))</f>
        <v/>
      </c>
      <c r="U241" s="260">
        <f>INDEX('Entrada de Dados'!R$6:R$196,MATCH($C241,'Entrada de Dados'!$A$6:$A$196,0))</f>
        <v/>
      </c>
      <c r="V241" s="260">
        <f>INDEX('Entrada de Dados'!S$6:S$196,MATCH($C241,'Entrada de Dados'!$A$6:$A$196,0))</f>
        <v/>
      </c>
      <c r="W241" s="260">
        <f>INDEX('Entrada de Dados'!T$6:T$196,MATCH($C241,'Entrada de Dados'!$A$6:$A$196,0))</f>
        <v/>
      </c>
      <c r="X241" s="260">
        <f>INDEX('Entrada de Dados'!U$6:U$196,MATCH($C241,'Entrada de Dados'!$A$6:$A$196,0))</f>
        <v/>
      </c>
    </row>
    <row r="242" ht="15" customHeight="1" s="163">
      <c r="A242" s="258" t="n">
        <v>3</v>
      </c>
      <c r="B242" s="258" t="n"/>
      <c r="C242" s="258" t="inlineStr">
        <is>
          <t>3053</t>
        </is>
      </c>
      <c r="D242" s="259">
        <f>HYPERLINK("#'CEI PROFª DORA KILLER'!A1","CEI PROFª DORA KILLER")</f>
        <v/>
      </c>
      <c r="E242" s="259" t="inlineStr">
        <is>
          <t>INDEPENDÊNCIA</t>
        </is>
      </c>
      <c r="F242" s="260">
        <f>INDEX('Entrada de Dados'!C$6:C$196,MATCH($C242,'Entrada de Dados'!$A$6:$A$196,0))</f>
        <v/>
      </c>
      <c r="G242" s="260">
        <f>INDEX('Entrada de Dados'!D$6:D$196,MATCH($C242,'Entrada de Dados'!$A$6:$A$196,0))</f>
        <v/>
      </c>
      <c r="H242" s="260">
        <f>INDEX('Entrada de Dados'!E$6:E$196,MATCH($C242,'Entrada de Dados'!$A$6:$A$196,0))</f>
        <v/>
      </c>
      <c r="I242" s="260">
        <f>INDEX('Entrada de Dados'!F$6:F$196,MATCH($C242,'Entrada de Dados'!$A$6:$A$196,0))</f>
        <v/>
      </c>
      <c r="J242" s="260">
        <f>INDEX('Entrada de Dados'!G$6:G$196,MATCH($C242,'Entrada de Dados'!$A$6:$A$196,0))</f>
        <v/>
      </c>
      <c r="K242" s="260">
        <f>INDEX('Entrada de Dados'!H$6:H$196,MATCH($C242,'Entrada de Dados'!$A$6:$A$196,0))</f>
        <v/>
      </c>
      <c r="L242" s="260">
        <f>INDEX('Entrada de Dados'!I$6:I$196,MATCH($C242,'Entrada de Dados'!$A$6:$A$196,0))</f>
        <v/>
      </c>
      <c r="M242" s="260">
        <f>INDEX('Entrada de Dados'!J$6:J$196,MATCH($C242,'Entrada de Dados'!$A$6:$A$196,0))</f>
        <v/>
      </c>
      <c r="N242" s="260">
        <f>INDEX('Entrada de Dados'!K$6:K$196,MATCH($C242,'Entrada de Dados'!$A$6:$A$196,0))</f>
        <v/>
      </c>
      <c r="O242" s="260">
        <f>INDEX('Entrada de Dados'!L$6:L$196,MATCH($C242,'Entrada de Dados'!$A$6:$A$196,0))</f>
        <v/>
      </c>
      <c r="P242" s="260">
        <f>INDEX('Entrada de Dados'!M$6:M$196,MATCH($C242,'Entrada de Dados'!$A$6:$A$196,0))</f>
        <v/>
      </c>
      <c r="Q242" s="260">
        <f>INDEX('Entrada de Dados'!N$6:N$196,MATCH($C242,'Entrada de Dados'!$A$6:$A$196,0))</f>
        <v/>
      </c>
      <c r="R242" s="260">
        <f>INDEX('Entrada de Dados'!O$6:O$196,MATCH($C242,'Entrada de Dados'!$A$6:$A$196,0))</f>
        <v/>
      </c>
      <c r="S242" s="260">
        <f>INDEX('Entrada de Dados'!P$6:P$196,MATCH($C242,'Entrada de Dados'!$A$6:$A$196,0))</f>
        <v/>
      </c>
      <c r="T242" s="260">
        <f>INDEX('Entrada de Dados'!Q$6:Q$196,MATCH($C242,'Entrada de Dados'!$A$6:$A$196,0))</f>
        <v/>
      </c>
      <c r="U242" s="260">
        <f>INDEX('Entrada de Dados'!R$6:R$196,MATCH($C242,'Entrada de Dados'!$A$6:$A$196,0))</f>
        <v/>
      </c>
      <c r="V242" s="260">
        <f>INDEX('Entrada de Dados'!S$6:S$196,MATCH($C242,'Entrada de Dados'!$A$6:$A$196,0))</f>
        <v/>
      </c>
      <c r="W242" s="260">
        <f>INDEX('Entrada de Dados'!T$6:T$196,MATCH($C242,'Entrada de Dados'!$A$6:$A$196,0))</f>
        <v/>
      </c>
      <c r="X242" s="260">
        <f>INDEX('Entrada de Dados'!U$6:U$196,MATCH($C242,'Entrada de Dados'!$A$6:$A$196,0))</f>
        <v/>
      </c>
    </row>
    <row r="243" ht="15" customHeight="1" s="163">
      <c r="A243" s="258" t="n">
        <v>4</v>
      </c>
      <c r="B243" s="258" t="n"/>
      <c r="C243" s="258" t="inlineStr">
        <is>
          <t>3011</t>
        </is>
      </c>
      <c r="D243" s="259">
        <f>HYPERLINK("#'CEI ROMANO CANAVESE'!A1","CEI ROMANO CANAVESE")</f>
        <v/>
      </c>
      <c r="E243" s="259" t="inlineStr">
        <is>
          <t>INDEPENDÊNCIA</t>
        </is>
      </c>
      <c r="F243" s="260">
        <f>INDEX('Entrada de Dados'!C$6:C$196,MATCH($C243,'Entrada de Dados'!$A$6:$A$196,0))</f>
        <v/>
      </c>
      <c r="G243" s="260">
        <f>INDEX('Entrada de Dados'!D$6:D$196,MATCH($C243,'Entrada de Dados'!$A$6:$A$196,0))</f>
        <v/>
      </c>
      <c r="H243" s="260">
        <f>INDEX('Entrada de Dados'!E$6:E$196,MATCH($C243,'Entrada de Dados'!$A$6:$A$196,0))</f>
        <v/>
      </c>
      <c r="I243" s="260">
        <f>INDEX('Entrada de Dados'!F$6:F$196,MATCH($C243,'Entrada de Dados'!$A$6:$A$196,0))</f>
        <v/>
      </c>
      <c r="J243" s="260">
        <f>INDEX('Entrada de Dados'!G$6:G$196,MATCH($C243,'Entrada de Dados'!$A$6:$A$196,0))</f>
        <v/>
      </c>
      <c r="K243" s="260">
        <f>INDEX('Entrada de Dados'!H$6:H$196,MATCH($C243,'Entrada de Dados'!$A$6:$A$196,0))</f>
        <v/>
      </c>
      <c r="L243" s="260">
        <f>INDEX('Entrada de Dados'!I$6:I$196,MATCH($C243,'Entrada de Dados'!$A$6:$A$196,0))</f>
        <v/>
      </c>
      <c r="M243" s="260">
        <f>INDEX('Entrada de Dados'!J$6:J$196,MATCH($C243,'Entrada de Dados'!$A$6:$A$196,0))</f>
        <v/>
      </c>
      <c r="N243" s="260">
        <f>INDEX('Entrada de Dados'!K$6:K$196,MATCH($C243,'Entrada de Dados'!$A$6:$A$196,0))</f>
        <v/>
      </c>
      <c r="O243" s="260">
        <f>INDEX('Entrada de Dados'!L$6:L$196,MATCH($C243,'Entrada de Dados'!$A$6:$A$196,0))</f>
        <v/>
      </c>
      <c r="P243" s="260">
        <f>INDEX('Entrada de Dados'!M$6:M$196,MATCH($C243,'Entrada de Dados'!$A$6:$A$196,0))</f>
        <v/>
      </c>
      <c r="Q243" s="260">
        <f>INDEX('Entrada de Dados'!N$6:N$196,MATCH($C243,'Entrada de Dados'!$A$6:$A$196,0))</f>
        <v/>
      </c>
      <c r="R243" s="260">
        <f>INDEX('Entrada de Dados'!O$6:O$196,MATCH($C243,'Entrada de Dados'!$A$6:$A$196,0))</f>
        <v/>
      </c>
      <c r="S243" s="260">
        <f>INDEX('Entrada de Dados'!P$6:P$196,MATCH($C243,'Entrada de Dados'!$A$6:$A$196,0))</f>
        <v/>
      </c>
      <c r="T243" s="260">
        <f>INDEX('Entrada de Dados'!Q$6:Q$196,MATCH($C243,'Entrada de Dados'!$A$6:$A$196,0))</f>
        <v/>
      </c>
      <c r="U243" s="260">
        <f>INDEX('Entrada de Dados'!R$6:R$196,MATCH($C243,'Entrada de Dados'!$A$6:$A$196,0))</f>
        <v/>
      </c>
      <c r="V243" s="260">
        <f>INDEX('Entrada de Dados'!S$6:S$196,MATCH($C243,'Entrada de Dados'!$A$6:$A$196,0))</f>
        <v/>
      </c>
      <c r="W243" s="260">
        <f>INDEX('Entrada de Dados'!T$6:T$196,MATCH($C243,'Entrada de Dados'!$A$6:$A$196,0))</f>
        <v/>
      </c>
      <c r="X243" s="260">
        <f>INDEX('Entrada de Dados'!U$6:U$196,MATCH($C243,'Entrada de Dados'!$A$6:$A$196,0))</f>
        <v/>
      </c>
    </row>
    <row r="244" ht="15" customHeight="1" s="163">
      <c r="A244" s="258" t="n">
        <v>5</v>
      </c>
      <c r="B244" s="258" t="n"/>
      <c r="C244" s="258" t="inlineStr">
        <is>
          <t>4001</t>
        </is>
      </c>
      <c r="D244" s="259">
        <f>HYPERLINK("#'CEI ALTO INDEPENDÊNCIA'!A1","CEI ALTO INDEPENDÊNCIA")</f>
        <v/>
      </c>
      <c r="E244" s="259" t="inlineStr">
        <is>
          <t>INDEPENDÊNCIA</t>
        </is>
      </c>
      <c r="F244" s="260">
        <f>INDEX('Entrada de Dados'!C$6:C$196,MATCH($C244,'Entrada de Dados'!$A$6:$A$196,0))</f>
        <v/>
      </c>
      <c r="G244" s="260">
        <f>INDEX('Entrada de Dados'!D$6:D$196,MATCH($C244,'Entrada de Dados'!$A$6:$A$196,0))</f>
        <v/>
      </c>
      <c r="H244" s="260">
        <f>INDEX('Entrada de Dados'!E$6:E$196,MATCH($C244,'Entrada de Dados'!$A$6:$A$196,0))</f>
        <v/>
      </c>
      <c r="I244" s="260">
        <f>INDEX('Entrada de Dados'!F$6:F$196,MATCH($C244,'Entrada de Dados'!$A$6:$A$196,0))</f>
        <v/>
      </c>
      <c r="J244" s="260">
        <f>INDEX('Entrada de Dados'!G$6:G$196,MATCH($C244,'Entrada de Dados'!$A$6:$A$196,0))</f>
        <v/>
      </c>
      <c r="K244" s="260">
        <f>INDEX('Entrada de Dados'!H$6:H$196,MATCH($C244,'Entrada de Dados'!$A$6:$A$196,0))</f>
        <v/>
      </c>
      <c r="L244" s="260">
        <f>INDEX('Entrada de Dados'!I$6:I$196,MATCH($C244,'Entrada de Dados'!$A$6:$A$196,0))</f>
        <v/>
      </c>
      <c r="M244" s="260">
        <f>INDEX('Entrada de Dados'!J$6:J$196,MATCH($C244,'Entrada de Dados'!$A$6:$A$196,0))</f>
        <v/>
      </c>
      <c r="N244" s="260">
        <f>INDEX('Entrada de Dados'!K$6:K$196,MATCH($C244,'Entrada de Dados'!$A$6:$A$196,0))</f>
        <v/>
      </c>
      <c r="O244" s="260">
        <f>INDEX('Entrada de Dados'!L$6:L$196,MATCH($C244,'Entrada de Dados'!$A$6:$A$196,0))</f>
        <v/>
      </c>
      <c r="P244" s="260">
        <f>INDEX('Entrada de Dados'!M$6:M$196,MATCH($C244,'Entrada de Dados'!$A$6:$A$196,0))</f>
        <v/>
      </c>
      <c r="Q244" s="260">
        <f>INDEX('Entrada de Dados'!N$6:N$196,MATCH($C244,'Entrada de Dados'!$A$6:$A$196,0))</f>
        <v/>
      </c>
      <c r="R244" s="260">
        <f>INDEX('Entrada de Dados'!O$6:O$196,MATCH($C244,'Entrada de Dados'!$A$6:$A$196,0))</f>
        <v/>
      </c>
      <c r="S244" s="260">
        <f>INDEX('Entrada de Dados'!P$6:P$196,MATCH($C244,'Entrada de Dados'!$A$6:$A$196,0))</f>
        <v/>
      </c>
      <c r="T244" s="260">
        <f>INDEX('Entrada de Dados'!Q$6:Q$196,MATCH($C244,'Entrada de Dados'!$A$6:$A$196,0))</f>
        <v/>
      </c>
      <c r="U244" s="260">
        <f>INDEX('Entrada de Dados'!R$6:R$196,MATCH($C244,'Entrada de Dados'!$A$6:$A$196,0))</f>
        <v/>
      </c>
      <c r="V244" s="260">
        <f>INDEX('Entrada de Dados'!S$6:S$196,MATCH($C244,'Entrada de Dados'!$A$6:$A$196,0))</f>
        <v/>
      </c>
      <c r="W244" s="260">
        <f>INDEX('Entrada de Dados'!T$6:T$196,MATCH($C244,'Entrada de Dados'!$A$6:$A$196,0))</f>
        <v/>
      </c>
      <c r="X244" s="260">
        <f>INDEX('Entrada de Dados'!U$6:U$196,MATCH($C244,'Entrada de Dados'!$A$6:$A$196,0))</f>
        <v/>
      </c>
    </row>
    <row r="245" ht="15" customHeight="1" s="163">
      <c r="A245" s="258" t="n">
        <v>6</v>
      </c>
      <c r="B245" s="258" t="n"/>
      <c r="C245" s="258" t="inlineStr">
        <is>
          <t>2002</t>
        </is>
      </c>
      <c r="D245" s="259">
        <f>HYPERLINK("#'CENTRO EDUCACIONAL COMUNIDADE S'!A1","CENTRO EDUCACIONAL COMUNIDADE SÃO JORGE")</f>
        <v/>
      </c>
      <c r="E245" s="259" t="inlineStr">
        <is>
          <t>INDEPENDÊNCIA</t>
        </is>
      </c>
      <c r="F245" s="260">
        <f>INDEX('Entrada de Dados'!C$6:C$196,MATCH($C245,'Entrada de Dados'!$A$6:$A$196,0))</f>
        <v/>
      </c>
      <c r="G245" s="260">
        <f>INDEX('Entrada de Dados'!D$6:D$196,MATCH($C245,'Entrada de Dados'!$A$6:$A$196,0))</f>
        <v/>
      </c>
      <c r="H245" s="260">
        <f>INDEX('Entrada de Dados'!E$6:E$196,MATCH($C245,'Entrada de Dados'!$A$6:$A$196,0))</f>
        <v/>
      </c>
      <c r="I245" s="260">
        <f>INDEX('Entrada de Dados'!F$6:F$196,MATCH($C245,'Entrada de Dados'!$A$6:$A$196,0))</f>
        <v/>
      </c>
      <c r="J245" s="260">
        <f>INDEX('Entrada de Dados'!G$6:G$196,MATCH($C245,'Entrada de Dados'!$A$6:$A$196,0))</f>
        <v/>
      </c>
      <c r="K245" s="260">
        <f>INDEX('Entrada de Dados'!H$6:H$196,MATCH($C245,'Entrada de Dados'!$A$6:$A$196,0))</f>
        <v/>
      </c>
      <c r="L245" s="260">
        <f>INDEX('Entrada de Dados'!I$6:I$196,MATCH($C245,'Entrada de Dados'!$A$6:$A$196,0))</f>
        <v/>
      </c>
      <c r="M245" s="260">
        <f>INDEX('Entrada de Dados'!J$6:J$196,MATCH($C245,'Entrada de Dados'!$A$6:$A$196,0))</f>
        <v/>
      </c>
      <c r="N245" s="260">
        <f>INDEX('Entrada de Dados'!K$6:K$196,MATCH($C245,'Entrada de Dados'!$A$6:$A$196,0))</f>
        <v/>
      </c>
      <c r="O245" s="260">
        <f>INDEX('Entrada de Dados'!L$6:L$196,MATCH($C245,'Entrada de Dados'!$A$6:$A$196,0))</f>
        <v/>
      </c>
      <c r="P245" s="260">
        <f>INDEX('Entrada de Dados'!M$6:M$196,MATCH($C245,'Entrada de Dados'!$A$6:$A$196,0))</f>
        <v/>
      </c>
      <c r="Q245" s="260">
        <f>INDEX('Entrada de Dados'!N$6:N$196,MATCH($C245,'Entrada de Dados'!$A$6:$A$196,0))</f>
        <v/>
      </c>
      <c r="R245" s="260">
        <f>INDEX('Entrada de Dados'!O$6:O$196,MATCH($C245,'Entrada de Dados'!$A$6:$A$196,0))</f>
        <v/>
      </c>
      <c r="S245" s="260">
        <f>INDEX('Entrada de Dados'!P$6:P$196,MATCH($C245,'Entrada de Dados'!$A$6:$A$196,0))</f>
        <v/>
      </c>
      <c r="T245" s="260">
        <f>INDEX('Entrada de Dados'!Q$6:Q$196,MATCH($C245,'Entrada de Dados'!$A$6:$A$196,0))</f>
        <v/>
      </c>
      <c r="U245" s="260">
        <f>INDEX('Entrada de Dados'!R$6:R$196,MATCH($C245,'Entrada de Dados'!$A$6:$A$196,0))</f>
        <v/>
      </c>
      <c r="V245" s="260">
        <f>INDEX('Entrada de Dados'!S$6:S$196,MATCH($C245,'Entrada de Dados'!$A$6:$A$196,0))</f>
        <v/>
      </c>
      <c r="W245" s="260">
        <f>INDEX('Entrada de Dados'!T$6:T$196,MATCH($C245,'Entrada de Dados'!$A$6:$A$196,0))</f>
        <v/>
      </c>
      <c r="X245" s="260">
        <f>INDEX('Entrada de Dados'!U$6:U$196,MATCH($C245,'Entrada de Dados'!$A$6:$A$196,0))</f>
        <v/>
      </c>
    </row>
    <row r="246" ht="15" customHeight="1" s="163">
      <c r="A246" s="258" t="n">
        <v>7</v>
      </c>
      <c r="B246" s="258" t="n"/>
      <c r="C246" s="258" t="inlineStr">
        <is>
          <t>1084</t>
        </is>
      </c>
      <c r="D246" s="259">
        <f>HYPERLINK("#'ESCOLA MUNICIPAL ALTO INDEPENDÊ'!A1","ESCOLA MUNICIPAL ALTO INDEPENDÊNCIA")</f>
        <v/>
      </c>
      <c r="E246" s="259" t="inlineStr">
        <is>
          <t>ALTO INDEPENDÊNCIA</t>
        </is>
      </c>
      <c r="F246" s="260">
        <f>INDEX('Entrada de Dados'!C$6:C$196,MATCH($C246,'Entrada de Dados'!$A$6:$A$196,0))</f>
        <v/>
      </c>
      <c r="G246" s="260">
        <f>INDEX('Entrada de Dados'!D$6:D$196,MATCH($C246,'Entrada de Dados'!$A$6:$A$196,0))</f>
        <v/>
      </c>
      <c r="H246" s="260">
        <f>INDEX('Entrada de Dados'!E$6:E$196,MATCH($C246,'Entrada de Dados'!$A$6:$A$196,0))</f>
        <v/>
      </c>
      <c r="I246" s="260">
        <f>INDEX('Entrada de Dados'!F$6:F$196,MATCH($C246,'Entrada de Dados'!$A$6:$A$196,0))</f>
        <v/>
      </c>
      <c r="J246" s="260">
        <f>INDEX('Entrada de Dados'!G$6:G$196,MATCH($C246,'Entrada de Dados'!$A$6:$A$196,0))</f>
        <v/>
      </c>
      <c r="K246" s="260">
        <f>INDEX('Entrada de Dados'!H$6:H$196,MATCH($C246,'Entrada de Dados'!$A$6:$A$196,0))</f>
        <v/>
      </c>
      <c r="L246" s="260">
        <f>INDEX('Entrada de Dados'!I$6:I$196,MATCH($C246,'Entrada de Dados'!$A$6:$A$196,0))</f>
        <v/>
      </c>
      <c r="M246" s="260">
        <f>INDEX('Entrada de Dados'!J$6:J$196,MATCH($C246,'Entrada de Dados'!$A$6:$A$196,0))</f>
        <v/>
      </c>
      <c r="N246" s="260">
        <f>INDEX('Entrada de Dados'!K$6:K$196,MATCH($C246,'Entrada de Dados'!$A$6:$A$196,0))</f>
        <v/>
      </c>
      <c r="O246" s="260">
        <f>INDEX('Entrada de Dados'!L$6:L$196,MATCH($C246,'Entrada de Dados'!$A$6:$A$196,0))</f>
        <v/>
      </c>
      <c r="P246" s="260">
        <f>INDEX('Entrada de Dados'!M$6:M$196,MATCH($C246,'Entrada de Dados'!$A$6:$A$196,0))</f>
        <v/>
      </c>
      <c r="Q246" s="260">
        <f>INDEX('Entrada de Dados'!N$6:N$196,MATCH($C246,'Entrada de Dados'!$A$6:$A$196,0))</f>
        <v/>
      </c>
      <c r="R246" s="260">
        <f>INDEX('Entrada de Dados'!O$6:O$196,MATCH($C246,'Entrada de Dados'!$A$6:$A$196,0))</f>
        <v/>
      </c>
      <c r="S246" s="260">
        <f>INDEX('Entrada de Dados'!P$6:P$196,MATCH($C246,'Entrada de Dados'!$A$6:$A$196,0))</f>
        <v/>
      </c>
      <c r="T246" s="260">
        <f>INDEX('Entrada de Dados'!Q$6:Q$196,MATCH($C246,'Entrada de Dados'!$A$6:$A$196,0))</f>
        <v/>
      </c>
      <c r="U246" s="260">
        <f>INDEX('Entrada de Dados'!R$6:R$196,MATCH($C246,'Entrada de Dados'!$A$6:$A$196,0))</f>
        <v/>
      </c>
      <c r="V246" s="260">
        <f>INDEX('Entrada de Dados'!S$6:S$196,MATCH($C246,'Entrada de Dados'!$A$6:$A$196,0))</f>
        <v/>
      </c>
      <c r="W246" s="260">
        <f>INDEX('Entrada de Dados'!T$6:T$196,MATCH($C246,'Entrada de Dados'!$A$6:$A$196,0))</f>
        <v/>
      </c>
      <c r="X246" s="260">
        <f>INDEX('Entrada de Dados'!U$6:U$196,MATCH($C246,'Entrada de Dados'!$A$6:$A$196,0))</f>
        <v/>
      </c>
    </row>
    <row r="247" ht="15" customHeight="1" s="163">
      <c r="A247" s="258" t="n">
        <v>8</v>
      </c>
      <c r="B247" s="258" t="n"/>
      <c r="C247" s="258" t="inlineStr">
        <is>
          <t>3065</t>
        </is>
      </c>
      <c r="D247" s="259">
        <f>HYPERLINK("#'CEI PROFª HERMÍNIA MATHEUS'!A1","CEI PROFª HERMÍNIA MATHEUS")</f>
        <v/>
      </c>
      <c r="E247" s="259" t="inlineStr">
        <is>
          <t>SÃO SEBASTIÃO</t>
        </is>
      </c>
      <c r="F247" s="260">
        <f>INDEX('Entrada de Dados'!C$6:C$196,MATCH($C247,'Entrada de Dados'!$A$6:$A$196,0))</f>
        <v/>
      </c>
      <c r="G247" s="260">
        <f>INDEX('Entrada de Dados'!D$6:D$196,MATCH($C247,'Entrada de Dados'!$A$6:$A$196,0))</f>
        <v/>
      </c>
      <c r="H247" s="260">
        <f>INDEX('Entrada de Dados'!E$6:E$196,MATCH($C247,'Entrada de Dados'!$A$6:$A$196,0))</f>
        <v/>
      </c>
      <c r="I247" s="260">
        <f>INDEX('Entrada de Dados'!F$6:F$196,MATCH($C247,'Entrada de Dados'!$A$6:$A$196,0))</f>
        <v/>
      </c>
      <c r="J247" s="260">
        <f>INDEX('Entrada de Dados'!G$6:G$196,MATCH($C247,'Entrada de Dados'!$A$6:$A$196,0))</f>
        <v/>
      </c>
      <c r="K247" s="260">
        <f>INDEX('Entrada de Dados'!H$6:H$196,MATCH($C247,'Entrada de Dados'!$A$6:$A$196,0))</f>
        <v/>
      </c>
      <c r="L247" s="260">
        <f>INDEX('Entrada de Dados'!I$6:I$196,MATCH($C247,'Entrada de Dados'!$A$6:$A$196,0))</f>
        <v/>
      </c>
      <c r="M247" s="260">
        <f>INDEX('Entrada de Dados'!J$6:J$196,MATCH($C247,'Entrada de Dados'!$A$6:$A$196,0))</f>
        <v/>
      </c>
      <c r="N247" s="260">
        <f>INDEX('Entrada de Dados'!K$6:K$196,MATCH($C247,'Entrada de Dados'!$A$6:$A$196,0))</f>
        <v/>
      </c>
      <c r="O247" s="260">
        <f>INDEX('Entrada de Dados'!L$6:L$196,MATCH($C247,'Entrada de Dados'!$A$6:$A$196,0))</f>
        <v/>
      </c>
      <c r="P247" s="260">
        <f>INDEX('Entrada de Dados'!M$6:M$196,MATCH($C247,'Entrada de Dados'!$A$6:$A$196,0))</f>
        <v/>
      </c>
      <c r="Q247" s="260">
        <f>INDEX('Entrada de Dados'!N$6:N$196,MATCH($C247,'Entrada de Dados'!$A$6:$A$196,0))</f>
        <v/>
      </c>
      <c r="R247" s="260">
        <f>INDEX('Entrada de Dados'!O$6:O$196,MATCH($C247,'Entrada de Dados'!$A$6:$A$196,0))</f>
        <v/>
      </c>
      <c r="S247" s="260">
        <f>INDEX('Entrada de Dados'!P$6:P$196,MATCH($C247,'Entrada de Dados'!$A$6:$A$196,0))</f>
        <v/>
      </c>
      <c r="T247" s="260">
        <f>INDEX('Entrada de Dados'!Q$6:Q$196,MATCH($C247,'Entrada de Dados'!$A$6:$A$196,0))</f>
        <v/>
      </c>
      <c r="U247" s="260">
        <f>INDEX('Entrada de Dados'!R$6:R$196,MATCH($C247,'Entrada de Dados'!$A$6:$A$196,0))</f>
        <v/>
      </c>
      <c r="V247" s="260">
        <f>INDEX('Entrada de Dados'!S$6:S$196,MATCH($C247,'Entrada de Dados'!$A$6:$A$196,0))</f>
        <v/>
      </c>
      <c r="W247" s="260">
        <f>INDEX('Entrada de Dados'!T$6:T$196,MATCH($C247,'Entrada de Dados'!$A$6:$A$196,0))</f>
        <v/>
      </c>
      <c r="X247" s="260">
        <f>INDEX('Entrada de Dados'!U$6:U$196,MATCH($C247,'Entrada de Dados'!$A$6:$A$196,0))</f>
        <v/>
      </c>
    </row>
    <row r="248" ht="15" customHeight="1" s="163">
      <c r="A248" s="258" t="n">
        <v>9</v>
      </c>
      <c r="B248" s="258" t="n"/>
      <c r="C248" s="258" t="inlineStr">
        <is>
          <t>3034</t>
        </is>
      </c>
      <c r="D248" s="259">
        <f>HYPERLINK("#'CEI ANDRÉ REBOUÇAS'!A1","CEI ANDRÉ REBOUÇAS")</f>
        <v/>
      </c>
      <c r="E248" s="259" t="inlineStr">
        <is>
          <t>SÃO SEBASTIÃO</t>
        </is>
      </c>
      <c r="F248" s="260">
        <f>INDEX('Entrada de Dados'!C$6:C$196,MATCH($C248,'Entrada de Dados'!$A$6:$A$196,0))</f>
        <v/>
      </c>
      <c r="G248" s="260">
        <f>INDEX('Entrada de Dados'!D$6:D$196,MATCH($C248,'Entrada de Dados'!$A$6:$A$196,0))</f>
        <v/>
      </c>
      <c r="H248" s="260">
        <f>INDEX('Entrada de Dados'!E$6:E$196,MATCH($C248,'Entrada de Dados'!$A$6:$A$196,0))</f>
        <v/>
      </c>
      <c r="I248" s="260">
        <f>INDEX('Entrada de Dados'!F$6:F$196,MATCH($C248,'Entrada de Dados'!$A$6:$A$196,0))</f>
        <v/>
      </c>
      <c r="J248" s="260">
        <f>INDEX('Entrada de Dados'!G$6:G$196,MATCH($C248,'Entrada de Dados'!$A$6:$A$196,0))</f>
        <v/>
      </c>
      <c r="K248" s="260">
        <f>INDEX('Entrada de Dados'!H$6:H$196,MATCH($C248,'Entrada de Dados'!$A$6:$A$196,0))</f>
        <v/>
      </c>
      <c r="L248" s="260">
        <f>INDEX('Entrada de Dados'!I$6:I$196,MATCH($C248,'Entrada de Dados'!$A$6:$A$196,0))</f>
        <v/>
      </c>
      <c r="M248" s="260">
        <f>INDEX('Entrada de Dados'!J$6:J$196,MATCH($C248,'Entrada de Dados'!$A$6:$A$196,0))</f>
        <v/>
      </c>
      <c r="N248" s="260">
        <f>INDEX('Entrada de Dados'!K$6:K$196,MATCH($C248,'Entrada de Dados'!$A$6:$A$196,0))</f>
        <v/>
      </c>
      <c r="O248" s="260">
        <f>INDEX('Entrada de Dados'!L$6:L$196,MATCH($C248,'Entrada de Dados'!$A$6:$A$196,0))</f>
        <v/>
      </c>
      <c r="P248" s="260">
        <f>INDEX('Entrada de Dados'!M$6:M$196,MATCH($C248,'Entrada de Dados'!$A$6:$A$196,0))</f>
        <v/>
      </c>
      <c r="Q248" s="260">
        <f>INDEX('Entrada de Dados'!N$6:N$196,MATCH($C248,'Entrada de Dados'!$A$6:$A$196,0))</f>
        <v/>
      </c>
      <c r="R248" s="260">
        <f>INDEX('Entrada de Dados'!O$6:O$196,MATCH($C248,'Entrada de Dados'!$A$6:$A$196,0))</f>
        <v/>
      </c>
      <c r="S248" s="260">
        <f>INDEX('Entrada de Dados'!P$6:P$196,MATCH($C248,'Entrada de Dados'!$A$6:$A$196,0))</f>
        <v/>
      </c>
      <c r="T248" s="260">
        <f>INDEX('Entrada de Dados'!Q$6:Q$196,MATCH($C248,'Entrada de Dados'!$A$6:$A$196,0))</f>
        <v/>
      </c>
      <c r="U248" s="260">
        <f>INDEX('Entrada de Dados'!R$6:R$196,MATCH($C248,'Entrada de Dados'!$A$6:$A$196,0))</f>
        <v/>
      </c>
      <c r="V248" s="260">
        <f>INDEX('Entrada de Dados'!S$6:S$196,MATCH($C248,'Entrada de Dados'!$A$6:$A$196,0))</f>
        <v/>
      </c>
      <c r="W248" s="260">
        <f>INDEX('Entrada de Dados'!T$6:T$196,MATCH($C248,'Entrada de Dados'!$A$6:$A$196,0))</f>
        <v/>
      </c>
      <c r="X248" s="260">
        <f>INDEX('Entrada de Dados'!U$6:U$196,MATCH($C248,'Entrada de Dados'!$A$6:$A$196,0))</f>
        <v/>
      </c>
    </row>
    <row r="249" ht="15" customHeight="1" s="163">
      <c r="A249" s="258" t="n">
        <v>10</v>
      </c>
      <c r="B249" s="258" t="n"/>
      <c r="C249" s="258" t="inlineStr">
        <is>
          <t>1103</t>
        </is>
      </c>
      <c r="D249" s="259">
        <f>HYPERLINK("#'E M PAPA JOÃO PAULO II'!A1","E M PAPA JOÃO PAULO II")</f>
        <v/>
      </c>
      <c r="E249" s="259" t="inlineStr">
        <is>
          <t>SÃO SEBASTIÃO</t>
        </is>
      </c>
      <c r="F249" s="260">
        <f>INDEX('Entrada de Dados'!C$6:C$196,MATCH($C249,'Entrada de Dados'!$A$6:$A$196,0))</f>
        <v/>
      </c>
      <c r="G249" s="260">
        <f>INDEX('Entrada de Dados'!D$6:D$196,MATCH($C249,'Entrada de Dados'!$A$6:$A$196,0))</f>
        <v/>
      </c>
      <c r="H249" s="260">
        <f>INDEX('Entrada de Dados'!E$6:E$196,MATCH($C249,'Entrada de Dados'!$A$6:$A$196,0))</f>
        <v/>
      </c>
      <c r="I249" s="260">
        <f>INDEX('Entrada de Dados'!F$6:F$196,MATCH($C249,'Entrada de Dados'!$A$6:$A$196,0))</f>
        <v/>
      </c>
      <c r="J249" s="260">
        <f>INDEX('Entrada de Dados'!G$6:G$196,MATCH($C249,'Entrada de Dados'!$A$6:$A$196,0))</f>
        <v/>
      </c>
      <c r="K249" s="260">
        <f>INDEX('Entrada de Dados'!H$6:H$196,MATCH($C249,'Entrada de Dados'!$A$6:$A$196,0))</f>
        <v/>
      </c>
      <c r="L249" s="260">
        <f>INDEX('Entrada de Dados'!I$6:I$196,MATCH($C249,'Entrada de Dados'!$A$6:$A$196,0))</f>
        <v/>
      </c>
      <c r="M249" s="260">
        <f>INDEX('Entrada de Dados'!J$6:J$196,MATCH($C249,'Entrada de Dados'!$A$6:$A$196,0))</f>
        <v/>
      </c>
      <c r="N249" s="260">
        <f>INDEX('Entrada de Dados'!K$6:K$196,MATCH($C249,'Entrada de Dados'!$A$6:$A$196,0))</f>
        <v/>
      </c>
      <c r="O249" s="260">
        <f>INDEX('Entrada de Dados'!L$6:L$196,MATCH($C249,'Entrada de Dados'!$A$6:$A$196,0))</f>
        <v/>
      </c>
      <c r="P249" s="260">
        <f>INDEX('Entrada de Dados'!M$6:M$196,MATCH($C249,'Entrada de Dados'!$A$6:$A$196,0))</f>
        <v/>
      </c>
      <c r="Q249" s="260">
        <f>INDEX('Entrada de Dados'!N$6:N$196,MATCH($C249,'Entrada de Dados'!$A$6:$A$196,0))</f>
        <v/>
      </c>
      <c r="R249" s="260">
        <f>INDEX('Entrada de Dados'!O$6:O$196,MATCH($C249,'Entrada de Dados'!$A$6:$A$196,0))</f>
        <v/>
      </c>
      <c r="S249" s="260">
        <f>INDEX('Entrada de Dados'!P$6:P$196,MATCH($C249,'Entrada de Dados'!$A$6:$A$196,0))</f>
        <v/>
      </c>
      <c r="T249" s="260">
        <f>INDEX('Entrada de Dados'!Q$6:Q$196,MATCH($C249,'Entrada de Dados'!$A$6:$A$196,0))</f>
        <v/>
      </c>
      <c r="U249" s="260">
        <f>INDEX('Entrada de Dados'!R$6:R$196,MATCH($C249,'Entrada de Dados'!$A$6:$A$196,0))</f>
        <v/>
      </c>
      <c r="V249" s="260">
        <f>INDEX('Entrada de Dados'!S$6:S$196,MATCH($C249,'Entrada de Dados'!$A$6:$A$196,0))</f>
        <v/>
      </c>
      <c r="W249" s="260">
        <f>INDEX('Entrada de Dados'!T$6:T$196,MATCH($C249,'Entrada de Dados'!$A$6:$A$196,0))</f>
        <v/>
      </c>
      <c r="X249" s="260">
        <f>INDEX('Entrada de Dados'!U$6:U$196,MATCH($C249,'Entrada de Dados'!$A$6:$A$196,0))</f>
        <v/>
      </c>
    </row>
    <row r="250" ht="21.75" customHeight="1" s="163">
      <c r="A250" s="265" t="inlineStr">
        <is>
          <t>Peso previsto:</t>
        </is>
      </c>
      <c r="C250" s="266">
        <f>SUM(F240:F249)+SUM(G240:G249)+SUM(H240:H249)+SUM(I240:I249)+SUM(J240:J249)+SUM(K240:K249)+SUM(L240:L249)+SUM(M240:M249)+SUM(N240:N249)+SUM(O240:O249)+SUM(P240:P249)+SUM(Q240:Q249)+SUM(R240:R249)+SUM(S240:S249)+SUM(T240:T249)+SUM(U240:U249)+SUM(W240:W249)+SUM(X240:X249)</f>
        <v/>
      </c>
      <c r="D250" s="265" t="inlineStr">
        <is>
          <t>Peso embarcado (kg):</t>
        </is>
      </c>
      <c r="F250" s="267" t="n"/>
      <c r="G250" s="265" t="inlineStr">
        <is>
          <t>Veículo:</t>
        </is>
      </c>
      <c r="I250" s="267" t="n"/>
      <c r="J250" s="268" t="n"/>
      <c r="K250" s="265" t="inlineStr">
        <is>
          <t>Motorista:</t>
        </is>
      </c>
      <c r="M250" s="267" t="n"/>
      <c r="N250" s="269" t="n"/>
      <c r="O250" s="269" t="n"/>
      <c r="P250" s="269" t="n"/>
      <c r="Q250" s="269" t="n"/>
      <c r="R250" s="269" t="n"/>
      <c r="S250" s="269" t="n"/>
      <c r="T250" s="269" t="n"/>
      <c r="U250" s="269" t="n"/>
      <c r="V250" s="269" t="n"/>
      <c r="W250" s="269" t="n"/>
      <c r="X250" s="268" t="n"/>
    </row>
    <row r="252" ht="19.5" customHeight="1" s="163">
      <c r="A252" s="186" t="inlineStr">
        <is>
          <t>ROTA T7 — RETIRO - CAXAMBU - QUARTEIRÃO BRASILEIRO · KOMBI · 12 escolas · 11 paradas físicas</t>
        </is>
      </c>
    </row>
    <row r="253" ht="25.5" customHeight="1" s="163">
      <c r="A253" s="256" t="inlineStr">
        <is>
          <t>Sequência-base: Galpão Itaipava &gt; Retiro &gt; Caxambu &gt; Quarteirão Brasileiro &gt; Galpão   Atenção: Corredor de vias locais. Flávio Cavalcanti é uma parada compartilhada por duas escolas.</t>
        </is>
      </c>
    </row>
    <row r="254" ht="30" customHeight="1" s="163">
      <c r="A254" s="257" t="inlineStr">
        <is>
          <t>PAR.</t>
        </is>
      </c>
      <c r="B254" s="257" t="inlineStr">
        <is>
          <t>SUB</t>
        </is>
      </c>
      <c r="C254" s="257" t="inlineStr">
        <is>
          <t>CÓDIGO</t>
        </is>
      </c>
      <c r="D254" s="257" t="inlineStr">
        <is>
          <t>ESCOLA</t>
        </is>
      </c>
      <c r="E254" s="257" t="inlineStr">
        <is>
          <t>BAIRRO/CORREDOR</t>
        </is>
      </c>
      <c r="F254" s="257" t="inlineStr">
        <is>
          <t>Abacate</t>
        </is>
      </c>
      <c r="G254" s="257" t="inlineStr">
        <is>
          <t>Abobrinha</t>
        </is>
      </c>
      <c r="H254" s="257" t="inlineStr">
        <is>
          <t>Agrião</t>
        </is>
      </c>
      <c r="I254" s="257" t="inlineStr">
        <is>
          <t>Alface lisa</t>
        </is>
      </c>
      <c r="J254" s="257" t="inlineStr">
        <is>
          <t>Banana prata</t>
        </is>
      </c>
      <c r="K254" s="257" t="inlineStr">
        <is>
          <t>Batata inglesa</t>
        </is>
      </c>
      <c r="L254" s="257" t="inlineStr">
        <is>
          <t>Beterraba</t>
        </is>
      </c>
      <c r="M254" s="257" t="inlineStr">
        <is>
          <t>Brócolis</t>
        </is>
      </c>
      <c r="N254" s="257" t="inlineStr">
        <is>
          <t>Cenoura</t>
        </is>
      </c>
      <c r="O254" s="257" t="inlineStr">
        <is>
          <t>Cheiro verde</t>
        </is>
      </c>
      <c r="P254" s="257" t="inlineStr">
        <is>
          <t>Chuchu</t>
        </is>
      </c>
      <c r="Q254" s="257" t="inlineStr">
        <is>
          <t>Couve manteiga</t>
        </is>
      </c>
      <c r="R254" s="257" t="inlineStr">
        <is>
          <t>Couve-flor</t>
        </is>
      </c>
      <c r="S254" s="257" t="inlineStr">
        <is>
          <t>Espinafre</t>
        </is>
      </c>
      <c r="T254" s="257" t="inlineStr">
        <is>
          <t>Maçã gala</t>
        </is>
      </c>
      <c r="U254" s="257" t="inlineStr">
        <is>
          <t>Mel</t>
        </is>
      </c>
      <c r="V254" s="257" t="inlineStr">
        <is>
          <t>Ovos (dz)</t>
        </is>
      </c>
      <c r="W254" s="257" t="inlineStr">
        <is>
          <t>Repolho</t>
        </is>
      </c>
      <c r="X254" s="257" t="inlineStr">
        <is>
          <t>Tangerina ponkan</t>
        </is>
      </c>
    </row>
    <row r="255" ht="15" customHeight="1" s="163">
      <c r="A255" s="258" t="n">
        <v>1</v>
      </c>
      <c r="B255" s="258" t="n"/>
      <c r="C255" s="258" t="inlineStr">
        <is>
          <t>3024</t>
        </is>
      </c>
      <c r="D255" s="259">
        <f>HYPERLINK("#'CENTRO PAROQUIAL DE EDUCAÇÃO IN'!A1","CENTRO PAROQUIAL DE EDUCAÇÃO INFANTIL NOSSA SENHORA APARECIDA")</f>
        <v/>
      </c>
      <c r="E255" s="259" t="inlineStr">
        <is>
          <t>RETIRO</t>
        </is>
      </c>
      <c r="F255" s="260">
        <f>INDEX('Entrada de Dados'!C$6:C$196,MATCH($C255,'Entrada de Dados'!$A$6:$A$196,0))</f>
        <v/>
      </c>
      <c r="G255" s="260">
        <f>INDEX('Entrada de Dados'!D$6:D$196,MATCH($C255,'Entrada de Dados'!$A$6:$A$196,0))</f>
        <v/>
      </c>
      <c r="H255" s="260">
        <f>INDEX('Entrada de Dados'!E$6:E$196,MATCH($C255,'Entrada de Dados'!$A$6:$A$196,0))</f>
        <v/>
      </c>
      <c r="I255" s="260">
        <f>INDEX('Entrada de Dados'!F$6:F$196,MATCH($C255,'Entrada de Dados'!$A$6:$A$196,0))</f>
        <v/>
      </c>
      <c r="J255" s="260">
        <f>INDEX('Entrada de Dados'!G$6:G$196,MATCH($C255,'Entrada de Dados'!$A$6:$A$196,0))</f>
        <v/>
      </c>
      <c r="K255" s="260">
        <f>INDEX('Entrada de Dados'!H$6:H$196,MATCH($C255,'Entrada de Dados'!$A$6:$A$196,0))</f>
        <v/>
      </c>
      <c r="L255" s="260">
        <f>INDEX('Entrada de Dados'!I$6:I$196,MATCH($C255,'Entrada de Dados'!$A$6:$A$196,0))</f>
        <v/>
      </c>
      <c r="M255" s="260">
        <f>INDEX('Entrada de Dados'!J$6:J$196,MATCH($C255,'Entrada de Dados'!$A$6:$A$196,0))</f>
        <v/>
      </c>
      <c r="N255" s="260">
        <f>INDEX('Entrada de Dados'!K$6:K$196,MATCH($C255,'Entrada de Dados'!$A$6:$A$196,0))</f>
        <v/>
      </c>
      <c r="O255" s="260">
        <f>INDEX('Entrada de Dados'!L$6:L$196,MATCH($C255,'Entrada de Dados'!$A$6:$A$196,0))</f>
        <v/>
      </c>
      <c r="P255" s="260">
        <f>INDEX('Entrada de Dados'!M$6:M$196,MATCH($C255,'Entrada de Dados'!$A$6:$A$196,0))</f>
        <v/>
      </c>
      <c r="Q255" s="260">
        <f>INDEX('Entrada de Dados'!N$6:N$196,MATCH($C255,'Entrada de Dados'!$A$6:$A$196,0))</f>
        <v/>
      </c>
      <c r="R255" s="260">
        <f>INDEX('Entrada de Dados'!O$6:O$196,MATCH($C255,'Entrada de Dados'!$A$6:$A$196,0))</f>
        <v/>
      </c>
      <c r="S255" s="260">
        <f>INDEX('Entrada de Dados'!P$6:P$196,MATCH($C255,'Entrada de Dados'!$A$6:$A$196,0))</f>
        <v/>
      </c>
      <c r="T255" s="260">
        <f>INDEX('Entrada de Dados'!Q$6:Q$196,MATCH($C255,'Entrada de Dados'!$A$6:$A$196,0))</f>
        <v/>
      </c>
      <c r="U255" s="260">
        <f>INDEX('Entrada de Dados'!R$6:R$196,MATCH($C255,'Entrada de Dados'!$A$6:$A$196,0))</f>
        <v/>
      </c>
      <c r="V255" s="260">
        <f>INDEX('Entrada de Dados'!S$6:S$196,MATCH($C255,'Entrada de Dados'!$A$6:$A$196,0))</f>
        <v/>
      </c>
      <c r="W255" s="260">
        <f>INDEX('Entrada de Dados'!T$6:T$196,MATCH($C255,'Entrada de Dados'!$A$6:$A$196,0))</f>
        <v/>
      </c>
      <c r="X255" s="260">
        <f>INDEX('Entrada de Dados'!U$6:U$196,MATCH($C255,'Entrada de Dados'!$A$6:$A$196,0))</f>
        <v/>
      </c>
    </row>
    <row r="256" ht="15" customHeight="1" s="163">
      <c r="A256" s="258" t="n">
        <v>2</v>
      </c>
      <c r="B256" s="258" t="n"/>
      <c r="C256" s="258" t="inlineStr">
        <is>
          <t>1085</t>
        </is>
      </c>
      <c r="D256" s="259">
        <f>HYPERLINK("#'E M ALMIRANTE TAMANDARÉ'!A1","E M ALMIRANTE TAMANDARÉ")</f>
        <v/>
      </c>
      <c r="E256" s="259" t="inlineStr">
        <is>
          <t>RETIRO</t>
        </is>
      </c>
      <c r="F256" s="260">
        <f>INDEX('Entrada de Dados'!C$6:C$196,MATCH($C256,'Entrada de Dados'!$A$6:$A$196,0))</f>
        <v/>
      </c>
      <c r="G256" s="260">
        <f>INDEX('Entrada de Dados'!D$6:D$196,MATCH($C256,'Entrada de Dados'!$A$6:$A$196,0))</f>
        <v/>
      </c>
      <c r="H256" s="260">
        <f>INDEX('Entrada de Dados'!E$6:E$196,MATCH($C256,'Entrada de Dados'!$A$6:$A$196,0))</f>
        <v/>
      </c>
      <c r="I256" s="260">
        <f>INDEX('Entrada de Dados'!F$6:F$196,MATCH($C256,'Entrada de Dados'!$A$6:$A$196,0))</f>
        <v/>
      </c>
      <c r="J256" s="260">
        <f>INDEX('Entrada de Dados'!G$6:G$196,MATCH($C256,'Entrada de Dados'!$A$6:$A$196,0))</f>
        <v/>
      </c>
      <c r="K256" s="260">
        <f>INDEX('Entrada de Dados'!H$6:H$196,MATCH($C256,'Entrada de Dados'!$A$6:$A$196,0))</f>
        <v/>
      </c>
      <c r="L256" s="260">
        <f>INDEX('Entrada de Dados'!I$6:I$196,MATCH($C256,'Entrada de Dados'!$A$6:$A$196,0))</f>
        <v/>
      </c>
      <c r="M256" s="260">
        <f>INDEX('Entrada de Dados'!J$6:J$196,MATCH($C256,'Entrada de Dados'!$A$6:$A$196,0))</f>
        <v/>
      </c>
      <c r="N256" s="260">
        <f>INDEX('Entrada de Dados'!K$6:K$196,MATCH($C256,'Entrada de Dados'!$A$6:$A$196,0))</f>
        <v/>
      </c>
      <c r="O256" s="260">
        <f>INDEX('Entrada de Dados'!L$6:L$196,MATCH($C256,'Entrada de Dados'!$A$6:$A$196,0))</f>
        <v/>
      </c>
      <c r="P256" s="260">
        <f>INDEX('Entrada de Dados'!M$6:M$196,MATCH($C256,'Entrada de Dados'!$A$6:$A$196,0))</f>
        <v/>
      </c>
      <c r="Q256" s="260">
        <f>INDEX('Entrada de Dados'!N$6:N$196,MATCH($C256,'Entrada de Dados'!$A$6:$A$196,0))</f>
        <v/>
      </c>
      <c r="R256" s="260">
        <f>INDEX('Entrada de Dados'!O$6:O$196,MATCH($C256,'Entrada de Dados'!$A$6:$A$196,0))</f>
        <v/>
      </c>
      <c r="S256" s="260">
        <f>INDEX('Entrada de Dados'!P$6:P$196,MATCH($C256,'Entrada de Dados'!$A$6:$A$196,0))</f>
        <v/>
      </c>
      <c r="T256" s="260">
        <f>INDEX('Entrada de Dados'!Q$6:Q$196,MATCH($C256,'Entrada de Dados'!$A$6:$A$196,0))</f>
        <v/>
      </c>
      <c r="U256" s="260">
        <f>INDEX('Entrada de Dados'!R$6:R$196,MATCH($C256,'Entrada de Dados'!$A$6:$A$196,0))</f>
        <v/>
      </c>
      <c r="V256" s="260">
        <f>INDEX('Entrada de Dados'!S$6:S$196,MATCH($C256,'Entrada de Dados'!$A$6:$A$196,0))</f>
        <v/>
      </c>
      <c r="W256" s="260">
        <f>INDEX('Entrada de Dados'!T$6:T$196,MATCH($C256,'Entrada de Dados'!$A$6:$A$196,0))</f>
        <v/>
      </c>
      <c r="X256" s="260">
        <f>INDEX('Entrada de Dados'!U$6:U$196,MATCH($C256,'Entrada de Dados'!$A$6:$A$196,0))</f>
        <v/>
      </c>
    </row>
    <row r="257" ht="15" customHeight="1" s="163">
      <c r="A257" s="258" t="n">
        <v>3</v>
      </c>
      <c r="B257" s="258" t="n"/>
      <c r="C257" s="258" t="inlineStr">
        <is>
          <t>3029</t>
        </is>
      </c>
      <c r="D257" s="259">
        <f>HYPERLINK("#'CEI IRMÃ SILVANA'!A1","CEI IRMÃ SILVANA")</f>
        <v/>
      </c>
      <c r="E257" s="259" t="inlineStr">
        <is>
          <t>RETIRO</t>
        </is>
      </c>
      <c r="F257" s="260">
        <f>INDEX('Entrada de Dados'!C$6:C$196,MATCH($C257,'Entrada de Dados'!$A$6:$A$196,0))</f>
        <v/>
      </c>
      <c r="G257" s="260">
        <f>INDEX('Entrada de Dados'!D$6:D$196,MATCH($C257,'Entrada de Dados'!$A$6:$A$196,0))</f>
        <v/>
      </c>
      <c r="H257" s="260">
        <f>INDEX('Entrada de Dados'!E$6:E$196,MATCH($C257,'Entrada de Dados'!$A$6:$A$196,0))</f>
        <v/>
      </c>
      <c r="I257" s="260">
        <f>INDEX('Entrada de Dados'!F$6:F$196,MATCH($C257,'Entrada de Dados'!$A$6:$A$196,0))</f>
        <v/>
      </c>
      <c r="J257" s="260">
        <f>INDEX('Entrada de Dados'!G$6:G$196,MATCH($C257,'Entrada de Dados'!$A$6:$A$196,0))</f>
        <v/>
      </c>
      <c r="K257" s="260">
        <f>INDEX('Entrada de Dados'!H$6:H$196,MATCH($C257,'Entrada de Dados'!$A$6:$A$196,0))</f>
        <v/>
      </c>
      <c r="L257" s="260">
        <f>INDEX('Entrada de Dados'!I$6:I$196,MATCH($C257,'Entrada de Dados'!$A$6:$A$196,0))</f>
        <v/>
      </c>
      <c r="M257" s="260">
        <f>INDEX('Entrada de Dados'!J$6:J$196,MATCH($C257,'Entrada de Dados'!$A$6:$A$196,0))</f>
        <v/>
      </c>
      <c r="N257" s="260">
        <f>INDEX('Entrada de Dados'!K$6:K$196,MATCH($C257,'Entrada de Dados'!$A$6:$A$196,0))</f>
        <v/>
      </c>
      <c r="O257" s="260">
        <f>INDEX('Entrada de Dados'!L$6:L$196,MATCH($C257,'Entrada de Dados'!$A$6:$A$196,0))</f>
        <v/>
      </c>
      <c r="P257" s="260">
        <f>INDEX('Entrada de Dados'!M$6:M$196,MATCH($C257,'Entrada de Dados'!$A$6:$A$196,0))</f>
        <v/>
      </c>
      <c r="Q257" s="260">
        <f>INDEX('Entrada de Dados'!N$6:N$196,MATCH($C257,'Entrada de Dados'!$A$6:$A$196,0))</f>
        <v/>
      </c>
      <c r="R257" s="260">
        <f>INDEX('Entrada de Dados'!O$6:O$196,MATCH($C257,'Entrada de Dados'!$A$6:$A$196,0))</f>
        <v/>
      </c>
      <c r="S257" s="260">
        <f>INDEX('Entrada de Dados'!P$6:P$196,MATCH($C257,'Entrada de Dados'!$A$6:$A$196,0))</f>
        <v/>
      </c>
      <c r="T257" s="260">
        <f>INDEX('Entrada de Dados'!Q$6:Q$196,MATCH($C257,'Entrada de Dados'!$A$6:$A$196,0))</f>
        <v/>
      </c>
      <c r="U257" s="260">
        <f>INDEX('Entrada de Dados'!R$6:R$196,MATCH($C257,'Entrada de Dados'!$A$6:$A$196,0))</f>
        <v/>
      </c>
      <c r="V257" s="260">
        <f>INDEX('Entrada de Dados'!S$6:S$196,MATCH($C257,'Entrada de Dados'!$A$6:$A$196,0))</f>
        <v/>
      </c>
      <c r="W257" s="260">
        <f>INDEX('Entrada de Dados'!T$6:T$196,MATCH($C257,'Entrada de Dados'!$A$6:$A$196,0))</f>
        <v/>
      </c>
      <c r="X257" s="260">
        <f>INDEX('Entrada de Dados'!U$6:U$196,MATCH($C257,'Entrada de Dados'!$A$6:$A$196,0))</f>
        <v/>
      </c>
    </row>
    <row r="258" ht="15" customHeight="1" s="163">
      <c r="A258" s="258" t="n">
        <v>4</v>
      </c>
      <c r="B258" s="258" t="n"/>
      <c r="C258" s="258" t="inlineStr">
        <is>
          <t>1035</t>
        </is>
      </c>
      <c r="D258" s="259">
        <f>HYPERLINK("#'ESCOLA MUNICIPAL MAJOR JÚLIO FR'!A1","ESCOLA MUNICIPAL MAJOR JÚLIO FREDERICO KOELER")</f>
        <v/>
      </c>
      <c r="E258" s="259" t="inlineStr">
        <is>
          <t>RETIRO</t>
        </is>
      </c>
      <c r="F258" s="260">
        <f>INDEX('Entrada de Dados'!C$6:C$196,MATCH($C258,'Entrada de Dados'!$A$6:$A$196,0))</f>
        <v/>
      </c>
      <c r="G258" s="260">
        <f>INDEX('Entrada de Dados'!D$6:D$196,MATCH($C258,'Entrada de Dados'!$A$6:$A$196,0))</f>
        <v/>
      </c>
      <c r="H258" s="260">
        <f>INDEX('Entrada de Dados'!E$6:E$196,MATCH($C258,'Entrada de Dados'!$A$6:$A$196,0))</f>
        <v/>
      </c>
      <c r="I258" s="260">
        <f>INDEX('Entrada de Dados'!F$6:F$196,MATCH($C258,'Entrada de Dados'!$A$6:$A$196,0))</f>
        <v/>
      </c>
      <c r="J258" s="260">
        <f>INDEX('Entrada de Dados'!G$6:G$196,MATCH($C258,'Entrada de Dados'!$A$6:$A$196,0))</f>
        <v/>
      </c>
      <c r="K258" s="260">
        <f>INDEX('Entrada de Dados'!H$6:H$196,MATCH($C258,'Entrada de Dados'!$A$6:$A$196,0))</f>
        <v/>
      </c>
      <c r="L258" s="260">
        <f>INDEX('Entrada de Dados'!I$6:I$196,MATCH($C258,'Entrada de Dados'!$A$6:$A$196,0))</f>
        <v/>
      </c>
      <c r="M258" s="260">
        <f>INDEX('Entrada de Dados'!J$6:J$196,MATCH($C258,'Entrada de Dados'!$A$6:$A$196,0))</f>
        <v/>
      </c>
      <c r="N258" s="260">
        <f>INDEX('Entrada de Dados'!K$6:K$196,MATCH($C258,'Entrada de Dados'!$A$6:$A$196,0))</f>
        <v/>
      </c>
      <c r="O258" s="260">
        <f>INDEX('Entrada de Dados'!L$6:L$196,MATCH($C258,'Entrada de Dados'!$A$6:$A$196,0))</f>
        <v/>
      </c>
      <c r="P258" s="260">
        <f>INDEX('Entrada de Dados'!M$6:M$196,MATCH($C258,'Entrada de Dados'!$A$6:$A$196,0))</f>
        <v/>
      </c>
      <c r="Q258" s="260">
        <f>INDEX('Entrada de Dados'!N$6:N$196,MATCH($C258,'Entrada de Dados'!$A$6:$A$196,0))</f>
        <v/>
      </c>
      <c r="R258" s="260">
        <f>INDEX('Entrada de Dados'!O$6:O$196,MATCH($C258,'Entrada de Dados'!$A$6:$A$196,0))</f>
        <v/>
      </c>
      <c r="S258" s="260">
        <f>INDEX('Entrada de Dados'!P$6:P$196,MATCH($C258,'Entrada de Dados'!$A$6:$A$196,0))</f>
        <v/>
      </c>
      <c r="T258" s="260">
        <f>INDEX('Entrada de Dados'!Q$6:Q$196,MATCH($C258,'Entrada de Dados'!$A$6:$A$196,0))</f>
        <v/>
      </c>
      <c r="U258" s="260">
        <f>INDEX('Entrada de Dados'!R$6:R$196,MATCH($C258,'Entrada de Dados'!$A$6:$A$196,0))</f>
        <v/>
      </c>
      <c r="V258" s="260">
        <f>INDEX('Entrada de Dados'!S$6:S$196,MATCH($C258,'Entrada de Dados'!$A$6:$A$196,0))</f>
        <v/>
      </c>
      <c r="W258" s="260">
        <f>INDEX('Entrada de Dados'!T$6:T$196,MATCH($C258,'Entrada de Dados'!$A$6:$A$196,0))</f>
        <v/>
      </c>
      <c r="X258" s="260">
        <f>INDEX('Entrada de Dados'!U$6:U$196,MATCH($C258,'Entrada de Dados'!$A$6:$A$196,0))</f>
        <v/>
      </c>
    </row>
    <row r="259" ht="15" customHeight="1" s="163">
      <c r="A259" s="258" t="n">
        <v>5</v>
      </c>
      <c r="B259" s="258" t="n"/>
      <c r="C259" s="258" t="inlineStr">
        <is>
          <t>2016</t>
        </is>
      </c>
      <c r="D259" s="259">
        <f>HYPERLINK("#'ESCOLA PAROQUIAL CARLOS DEMIÁ'!A1","ESCOLA PAROQUIAL CARLOS DEMIÁ")</f>
        <v/>
      </c>
      <c r="E259" s="259" t="inlineStr">
        <is>
          <t>RETIRO</t>
        </is>
      </c>
      <c r="F259" s="260">
        <f>INDEX('Entrada de Dados'!C$6:C$196,MATCH($C259,'Entrada de Dados'!$A$6:$A$196,0))</f>
        <v/>
      </c>
      <c r="G259" s="260">
        <f>INDEX('Entrada de Dados'!D$6:D$196,MATCH($C259,'Entrada de Dados'!$A$6:$A$196,0))</f>
        <v/>
      </c>
      <c r="H259" s="260">
        <f>INDEX('Entrada de Dados'!E$6:E$196,MATCH($C259,'Entrada de Dados'!$A$6:$A$196,0))</f>
        <v/>
      </c>
      <c r="I259" s="260">
        <f>INDEX('Entrada de Dados'!F$6:F$196,MATCH($C259,'Entrada de Dados'!$A$6:$A$196,0))</f>
        <v/>
      </c>
      <c r="J259" s="260">
        <f>INDEX('Entrada de Dados'!G$6:G$196,MATCH($C259,'Entrada de Dados'!$A$6:$A$196,0))</f>
        <v/>
      </c>
      <c r="K259" s="260">
        <f>INDEX('Entrada de Dados'!H$6:H$196,MATCH($C259,'Entrada de Dados'!$A$6:$A$196,0))</f>
        <v/>
      </c>
      <c r="L259" s="260">
        <f>INDEX('Entrada de Dados'!I$6:I$196,MATCH($C259,'Entrada de Dados'!$A$6:$A$196,0))</f>
        <v/>
      </c>
      <c r="M259" s="260">
        <f>INDEX('Entrada de Dados'!J$6:J$196,MATCH($C259,'Entrada de Dados'!$A$6:$A$196,0))</f>
        <v/>
      </c>
      <c r="N259" s="260">
        <f>INDEX('Entrada de Dados'!K$6:K$196,MATCH($C259,'Entrada de Dados'!$A$6:$A$196,0))</f>
        <v/>
      </c>
      <c r="O259" s="260">
        <f>INDEX('Entrada de Dados'!L$6:L$196,MATCH($C259,'Entrada de Dados'!$A$6:$A$196,0))</f>
        <v/>
      </c>
      <c r="P259" s="260">
        <f>INDEX('Entrada de Dados'!M$6:M$196,MATCH($C259,'Entrada de Dados'!$A$6:$A$196,0))</f>
        <v/>
      </c>
      <c r="Q259" s="260">
        <f>INDEX('Entrada de Dados'!N$6:N$196,MATCH($C259,'Entrada de Dados'!$A$6:$A$196,0))</f>
        <v/>
      </c>
      <c r="R259" s="260">
        <f>INDEX('Entrada de Dados'!O$6:O$196,MATCH($C259,'Entrada de Dados'!$A$6:$A$196,0))</f>
        <v/>
      </c>
      <c r="S259" s="260">
        <f>INDEX('Entrada de Dados'!P$6:P$196,MATCH($C259,'Entrada de Dados'!$A$6:$A$196,0))</f>
        <v/>
      </c>
      <c r="T259" s="260">
        <f>INDEX('Entrada de Dados'!Q$6:Q$196,MATCH($C259,'Entrada de Dados'!$A$6:$A$196,0))</f>
        <v/>
      </c>
      <c r="U259" s="260">
        <f>INDEX('Entrada de Dados'!R$6:R$196,MATCH($C259,'Entrada de Dados'!$A$6:$A$196,0))</f>
        <v/>
      </c>
      <c r="V259" s="260">
        <f>INDEX('Entrada de Dados'!S$6:S$196,MATCH($C259,'Entrada de Dados'!$A$6:$A$196,0))</f>
        <v/>
      </c>
      <c r="W259" s="260">
        <f>INDEX('Entrada de Dados'!T$6:T$196,MATCH($C259,'Entrada de Dados'!$A$6:$A$196,0))</f>
        <v/>
      </c>
      <c r="X259" s="260">
        <f>INDEX('Entrada de Dados'!U$6:U$196,MATCH($C259,'Entrada de Dados'!$A$6:$A$196,0))</f>
        <v/>
      </c>
    </row>
    <row r="260" ht="15" customHeight="1" s="163">
      <c r="A260" s="258" t="n">
        <v>6</v>
      </c>
      <c r="B260" s="258" t="n"/>
      <c r="C260" s="258" t="inlineStr">
        <is>
          <t>3048</t>
        </is>
      </c>
      <c r="D260" s="259">
        <f>HYPERLINK("#'CEI OLÍVIA MACHADO DA COSTA NOG'!A1","CEI OLÍVIA MACHADO DA COSTA NOGUEIRA")</f>
        <v/>
      </c>
      <c r="E260" s="259" t="inlineStr">
        <is>
          <t>RETIRO</t>
        </is>
      </c>
      <c r="F260" s="260">
        <f>INDEX('Entrada de Dados'!C$6:C$196,MATCH($C260,'Entrada de Dados'!$A$6:$A$196,0))</f>
        <v/>
      </c>
      <c r="G260" s="260">
        <f>INDEX('Entrada de Dados'!D$6:D$196,MATCH($C260,'Entrada de Dados'!$A$6:$A$196,0))</f>
        <v/>
      </c>
      <c r="H260" s="260">
        <f>INDEX('Entrada de Dados'!E$6:E$196,MATCH($C260,'Entrada de Dados'!$A$6:$A$196,0))</f>
        <v/>
      </c>
      <c r="I260" s="260">
        <f>INDEX('Entrada de Dados'!F$6:F$196,MATCH($C260,'Entrada de Dados'!$A$6:$A$196,0))</f>
        <v/>
      </c>
      <c r="J260" s="260">
        <f>INDEX('Entrada de Dados'!G$6:G$196,MATCH($C260,'Entrada de Dados'!$A$6:$A$196,0))</f>
        <v/>
      </c>
      <c r="K260" s="260">
        <f>INDEX('Entrada de Dados'!H$6:H$196,MATCH($C260,'Entrada de Dados'!$A$6:$A$196,0))</f>
        <v/>
      </c>
      <c r="L260" s="260">
        <f>INDEX('Entrada de Dados'!I$6:I$196,MATCH($C260,'Entrada de Dados'!$A$6:$A$196,0))</f>
        <v/>
      </c>
      <c r="M260" s="260">
        <f>INDEX('Entrada de Dados'!J$6:J$196,MATCH($C260,'Entrada de Dados'!$A$6:$A$196,0))</f>
        <v/>
      </c>
      <c r="N260" s="260">
        <f>INDEX('Entrada de Dados'!K$6:K$196,MATCH($C260,'Entrada de Dados'!$A$6:$A$196,0))</f>
        <v/>
      </c>
      <c r="O260" s="260">
        <f>INDEX('Entrada de Dados'!L$6:L$196,MATCH($C260,'Entrada de Dados'!$A$6:$A$196,0))</f>
        <v/>
      </c>
      <c r="P260" s="260">
        <f>INDEX('Entrada de Dados'!M$6:M$196,MATCH($C260,'Entrada de Dados'!$A$6:$A$196,0))</f>
        <v/>
      </c>
      <c r="Q260" s="260">
        <f>INDEX('Entrada de Dados'!N$6:N$196,MATCH($C260,'Entrada de Dados'!$A$6:$A$196,0))</f>
        <v/>
      </c>
      <c r="R260" s="260">
        <f>INDEX('Entrada de Dados'!O$6:O$196,MATCH($C260,'Entrada de Dados'!$A$6:$A$196,0))</f>
        <v/>
      </c>
      <c r="S260" s="260">
        <f>INDEX('Entrada de Dados'!P$6:P$196,MATCH($C260,'Entrada de Dados'!$A$6:$A$196,0))</f>
        <v/>
      </c>
      <c r="T260" s="260">
        <f>INDEX('Entrada de Dados'!Q$6:Q$196,MATCH($C260,'Entrada de Dados'!$A$6:$A$196,0))</f>
        <v/>
      </c>
      <c r="U260" s="260">
        <f>INDEX('Entrada de Dados'!R$6:R$196,MATCH($C260,'Entrada de Dados'!$A$6:$A$196,0))</f>
        <v/>
      </c>
      <c r="V260" s="260">
        <f>INDEX('Entrada de Dados'!S$6:S$196,MATCH($C260,'Entrada de Dados'!$A$6:$A$196,0))</f>
        <v/>
      </c>
      <c r="W260" s="260">
        <f>INDEX('Entrada de Dados'!T$6:T$196,MATCH($C260,'Entrada de Dados'!$A$6:$A$196,0))</f>
        <v/>
      </c>
      <c r="X260" s="260">
        <f>INDEX('Entrada de Dados'!U$6:U$196,MATCH($C260,'Entrada de Dados'!$A$6:$A$196,0))</f>
        <v/>
      </c>
    </row>
    <row r="261" ht="15" customHeight="1" s="163">
      <c r="A261" s="258" t="n">
        <v>7</v>
      </c>
      <c r="B261" s="258" t="n"/>
      <c r="C261" s="258" t="inlineStr">
        <is>
          <t>1001</t>
        </is>
      </c>
      <c r="D261" s="259">
        <f>HYPERLINK("#'E M ABELARDO DE LAMARE'!A1","E M ABELARDO DE LAMARE")</f>
        <v/>
      </c>
      <c r="E261" s="259" t="inlineStr">
        <is>
          <t>CAXAMBU</t>
        </is>
      </c>
      <c r="F261" s="260">
        <f>INDEX('Entrada de Dados'!C$6:C$196,MATCH($C261,'Entrada de Dados'!$A$6:$A$196,0))</f>
        <v/>
      </c>
      <c r="G261" s="260">
        <f>INDEX('Entrada de Dados'!D$6:D$196,MATCH($C261,'Entrada de Dados'!$A$6:$A$196,0))</f>
        <v/>
      </c>
      <c r="H261" s="260">
        <f>INDEX('Entrada de Dados'!E$6:E$196,MATCH($C261,'Entrada de Dados'!$A$6:$A$196,0))</f>
        <v/>
      </c>
      <c r="I261" s="260">
        <f>INDEX('Entrada de Dados'!F$6:F$196,MATCH($C261,'Entrada de Dados'!$A$6:$A$196,0))</f>
        <v/>
      </c>
      <c r="J261" s="260">
        <f>INDEX('Entrada de Dados'!G$6:G$196,MATCH($C261,'Entrada de Dados'!$A$6:$A$196,0))</f>
        <v/>
      </c>
      <c r="K261" s="260">
        <f>INDEX('Entrada de Dados'!H$6:H$196,MATCH($C261,'Entrada de Dados'!$A$6:$A$196,0))</f>
        <v/>
      </c>
      <c r="L261" s="260">
        <f>INDEX('Entrada de Dados'!I$6:I$196,MATCH($C261,'Entrada de Dados'!$A$6:$A$196,0))</f>
        <v/>
      </c>
      <c r="M261" s="260">
        <f>INDEX('Entrada de Dados'!J$6:J$196,MATCH($C261,'Entrada de Dados'!$A$6:$A$196,0))</f>
        <v/>
      </c>
      <c r="N261" s="260">
        <f>INDEX('Entrada de Dados'!K$6:K$196,MATCH($C261,'Entrada de Dados'!$A$6:$A$196,0))</f>
        <v/>
      </c>
      <c r="O261" s="260">
        <f>INDEX('Entrada de Dados'!L$6:L$196,MATCH($C261,'Entrada de Dados'!$A$6:$A$196,0))</f>
        <v/>
      </c>
      <c r="P261" s="260">
        <f>INDEX('Entrada de Dados'!M$6:M$196,MATCH($C261,'Entrada de Dados'!$A$6:$A$196,0))</f>
        <v/>
      </c>
      <c r="Q261" s="260">
        <f>INDEX('Entrada de Dados'!N$6:N$196,MATCH($C261,'Entrada de Dados'!$A$6:$A$196,0))</f>
        <v/>
      </c>
      <c r="R261" s="260">
        <f>INDEX('Entrada de Dados'!O$6:O$196,MATCH($C261,'Entrada de Dados'!$A$6:$A$196,0))</f>
        <v/>
      </c>
      <c r="S261" s="260">
        <f>INDEX('Entrada de Dados'!P$6:P$196,MATCH($C261,'Entrada de Dados'!$A$6:$A$196,0))</f>
        <v/>
      </c>
      <c r="T261" s="260">
        <f>INDEX('Entrada de Dados'!Q$6:Q$196,MATCH($C261,'Entrada de Dados'!$A$6:$A$196,0))</f>
        <v/>
      </c>
      <c r="U261" s="260">
        <f>INDEX('Entrada de Dados'!R$6:R$196,MATCH($C261,'Entrada de Dados'!$A$6:$A$196,0))</f>
        <v/>
      </c>
      <c r="V261" s="260">
        <f>INDEX('Entrada de Dados'!S$6:S$196,MATCH($C261,'Entrada de Dados'!$A$6:$A$196,0))</f>
        <v/>
      </c>
      <c r="W261" s="260">
        <f>INDEX('Entrada de Dados'!T$6:T$196,MATCH($C261,'Entrada de Dados'!$A$6:$A$196,0))</f>
        <v/>
      </c>
      <c r="X261" s="260">
        <f>INDEX('Entrada de Dados'!U$6:U$196,MATCH($C261,'Entrada de Dados'!$A$6:$A$196,0))</f>
        <v/>
      </c>
    </row>
    <row r="262" ht="15" customHeight="1" s="163">
      <c r="A262" s="261" t="n">
        <v>8</v>
      </c>
      <c r="B262" s="261" t="inlineStr">
        <is>
          <t>A</t>
        </is>
      </c>
      <c r="C262" s="262" t="inlineStr">
        <is>
          <t>1106</t>
        </is>
      </c>
      <c r="D262" s="263">
        <f>HYPERLINK("#'ESCOLA MUNICIPAL SENADOR MARIO '!A1","ESCOLA MUNICIPAL SENADOR MARIO MARTINS")</f>
        <v/>
      </c>
      <c r="E262" s="263" t="inlineStr">
        <is>
          <t>CAXAMBU</t>
        </is>
      </c>
      <c r="F262" s="264">
        <f>INDEX('Entrada de Dados'!C$6:C$196,MATCH($C262,'Entrada de Dados'!$A$6:$A$196,0))</f>
        <v/>
      </c>
      <c r="G262" s="264">
        <f>INDEX('Entrada de Dados'!D$6:D$196,MATCH($C262,'Entrada de Dados'!$A$6:$A$196,0))</f>
        <v/>
      </c>
      <c r="H262" s="264">
        <f>INDEX('Entrada de Dados'!E$6:E$196,MATCH($C262,'Entrada de Dados'!$A$6:$A$196,0))</f>
        <v/>
      </c>
      <c r="I262" s="264">
        <f>INDEX('Entrada de Dados'!F$6:F$196,MATCH($C262,'Entrada de Dados'!$A$6:$A$196,0))</f>
        <v/>
      </c>
      <c r="J262" s="264">
        <f>INDEX('Entrada de Dados'!G$6:G$196,MATCH($C262,'Entrada de Dados'!$A$6:$A$196,0))</f>
        <v/>
      </c>
      <c r="K262" s="264">
        <f>INDEX('Entrada de Dados'!H$6:H$196,MATCH($C262,'Entrada de Dados'!$A$6:$A$196,0))</f>
        <v/>
      </c>
      <c r="L262" s="264">
        <f>INDEX('Entrada de Dados'!I$6:I$196,MATCH($C262,'Entrada de Dados'!$A$6:$A$196,0))</f>
        <v/>
      </c>
      <c r="M262" s="264">
        <f>INDEX('Entrada de Dados'!J$6:J$196,MATCH($C262,'Entrada de Dados'!$A$6:$A$196,0))</f>
        <v/>
      </c>
      <c r="N262" s="264">
        <f>INDEX('Entrada de Dados'!K$6:K$196,MATCH($C262,'Entrada de Dados'!$A$6:$A$196,0))</f>
        <v/>
      </c>
      <c r="O262" s="264">
        <f>INDEX('Entrada de Dados'!L$6:L$196,MATCH($C262,'Entrada de Dados'!$A$6:$A$196,0))</f>
        <v/>
      </c>
      <c r="P262" s="264">
        <f>INDEX('Entrada de Dados'!M$6:M$196,MATCH($C262,'Entrada de Dados'!$A$6:$A$196,0))</f>
        <v/>
      </c>
      <c r="Q262" s="264">
        <f>INDEX('Entrada de Dados'!N$6:N$196,MATCH($C262,'Entrada de Dados'!$A$6:$A$196,0))</f>
        <v/>
      </c>
      <c r="R262" s="264">
        <f>INDEX('Entrada de Dados'!O$6:O$196,MATCH($C262,'Entrada de Dados'!$A$6:$A$196,0))</f>
        <v/>
      </c>
      <c r="S262" s="264">
        <f>INDEX('Entrada de Dados'!P$6:P$196,MATCH($C262,'Entrada de Dados'!$A$6:$A$196,0))</f>
        <v/>
      </c>
      <c r="T262" s="264">
        <f>INDEX('Entrada de Dados'!Q$6:Q$196,MATCH($C262,'Entrada de Dados'!$A$6:$A$196,0))</f>
        <v/>
      </c>
      <c r="U262" s="264">
        <f>INDEX('Entrada de Dados'!R$6:R$196,MATCH($C262,'Entrada de Dados'!$A$6:$A$196,0))</f>
        <v/>
      </c>
      <c r="V262" s="264">
        <f>INDEX('Entrada de Dados'!S$6:S$196,MATCH($C262,'Entrada de Dados'!$A$6:$A$196,0))</f>
        <v/>
      </c>
      <c r="W262" s="264">
        <f>INDEX('Entrada de Dados'!T$6:T$196,MATCH($C262,'Entrada de Dados'!$A$6:$A$196,0))</f>
        <v/>
      </c>
      <c r="X262" s="264">
        <f>INDEX('Entrada de Dados'!U$6:U$196,MATCH($C262,'Entrada de Dados'!$A$6:$A$196,0))</f>
        <v/>
      </c>
    </row>
    <row r="263" ht="15" customHeight="1" s="163">
      <c r="A263" s="261" t="n">
        <v>8</v>
      </c>
      <c r="B263" s="261" t="inlineStr">
        <is>
          <t>B</t>
        </is>
      </c>
      <c r="C263" s="262" t="inlineStr">
        <is>
          <t>4004</t>
        </is>
      </c>
      <c r="D263" s="263">
        <f>HYPERLINK("#'CEI SÃO CHARBEL'!A1","CEI SÃO CHARBEL")</f>
        <v/>
      </c>
      <c r="E263" s="263" t="inlineStr">
        <is>
          <t>CAXAMBU</t>
        </is>
      </c>
      <c r="F263" s="264">
        <f>INDEX('Entrada de Dados'!C$6:C$196,MATCH($C263,'Entrada de Dados'!$A$6:$A$196,0))</f>
        <v/>
      </c>
      <c r="G263" s="264">
        <f>INDEX('Entrada de Dados'!D$6:D$196,MATCH($C263,'Entrada de Dados'!$A$6:$A$196,0))</f>
        <v/>
      </c>
      <c r="H263" s="264">
        <f>INDEX('Entrada de Dados'!E$6:E$196,MATCH($C263,'Entrada de Dados'!$A$6:$A$196,0))</f>
        <v/>
      </c>
      <c r="I263" s="264">
        <f>INDEX('Entrada de Dados'!F$6:F$196,MATCH($C263,'Entrada de Dados'!$A$6:$A$196,0))</f>
        <v/>
      </c>
      <c r="J263" s="264">
        <f>INDEX('Entrada de Dados'!G$6:G$196,MATCH($C263,'Entrada de Dados'!$A$6:$A$196,0))</f>
        <v/>
      </c>
      <c r="K263" s="264">
        <f>INDEX('Entrada de Dados'!H$6:H$196,MATCH($C263,'Entrada de Dados'!$A$6:$A$196,0))</f>
        <v/>
      </c>
      <c r="L263" s="264">
        <f>INDEX('Entrada de Dados'!I$6:I$196,MATCH($C263,'Entrada de Dados'!$A$6:$A$196,0))</f>
        <v/>
      </c>
      <c r="M263" s="264">
        <f>INDEX('Entrada de Dados'!J$6:J$196,MATCH($C263,'Entrada de Dados'!$A$6:$A$196,0))</f>
        <v/>
      </c>
      <c r="N263" s="264">
        <f>INDEX('Entrada de Dados'!K$6:K$196,MATCH($C263,'Entrada de Dados'!$A$6:$A$196,0))</f>
        <v/>
      </c>
      <c r="O263" s="264">
        <f>INDEX('Entrada de Dados'!L$6:L$196,MATCH($C263,'Entrada de Dados'!$A$6:$A$196,0))</f>
        <v/>
      </c>
      <c r="P263" s="264">
        <f>INDEX('Entrada de Dados'!M$6:M$196,MATCH($C263,'Entrada de Dados'!$A$6:$A$196,0))</f>
        <v/>
      </c>
      <c r="Q263" s="264">
        <f>INDEX('Entrada de Dados'!N$6:N$196,MATCH($C263,'Entrada de Dados'!$A$6:$A$196,0))</f>
        <v/>
      </c>
      <c r="R263" s="264">
        <f>INDEX('Entrada de Dados'!O$6:O$196,MATCH($C263,'Entrada de Dados'!$A$6:$A$196,0))</f>
        <v/>
      </c>
      <c r="S263" s="264">
        <f>INDEX('Entrada de Dados'!P$6:P$196,MATCH($C263,'Entrada de Dados'!$A$6:$A$196,0))</f>
        <v/>
      </c>
      <c r="T263" s="264">
        <f>INDEX('Entrada de Dados'!Q$6:Q$196,MATCH($C263,'Entrada de Dados'!$A$6:$A$196,0))</f>
        <v/>
      </c>
      <c r="U263" s="264">
        <f>INDEX('Entrada de Dados'!R$6:R$196,MATCH($C263,'Entrada de Dados'!$A$6:$A$196,0))</f>
        <v/>
      </c>
      <c r="V263" s="264">
        <f>INDEX('Entrada de Dados'!S$6:S$196,MATCH($C263,'Entrada de Dados'!$A$6:$A$196,0))</f>
        <v/>
      </c>
      <c r="W263" s="264">
        <f>INDEX('Entrada de Dados'!T$6:T$196,MATCH($C263,'Entrada de Dados'!$A$6:$A$196,0))</f>
        <v/>
      </c>
      <c r="X263" s="264">
        <f>INDEX('Entrada de Dados'!U$6:U$196,MATCH($C263,'Entrada de Dados'!$A$6:$A$196,0))</f>
        <v/>
      </c>
    </row>
    <row r="264" ht="15" customHeight="1" s="163">
      <c r="A264" s="258" t="n">
        <v>9</v>
      </c>
      <c r="B264" s="258" t="n"/>
      <c r="C264" s="258" t="inlineStr">
        <is>
          <t>2030</t>
        </is>
      </c>
      <c r="D264" s="259">
        <f>HYPERLINK("#'ESCOLA PAROQUIAL SÃO PIO X'!A1","ESCOLA PAROQUIAL SÃO PIO X")</f>
        <v/>
      </c>
      <c r="E264" s="259" t="inlineStr">
        <is>
          <t>CAXAMBU</t>
        </is>
      </c>
      <c r="F264" s="260">
        <f>INDEX('Entrada de Dados'!C$6:C$196,MATCH($C264,'Entrada de Dados'!$A$6:$A$196,0))</f>
        <v/>
      </c>
      <c r="G264" s="260">
        <f>INDEX('Entrada de Dados'!D$6:D$196,MATCH($C264,'Entrada de Dados'!$A$6:$A$196,0))</f>
        <v/>
      </c>
      <c r="H264" s="260">
        <f>INDEX('Entrada de Dados'!E$6:E$196,MATCH($C264,'Entrada de Dados'!$A$6:$A$196,0))</f>
        <v/>
      </c>
      <c r="I264" s="260">
        <f>INDEX('Entrada de Dados'!F$6:F$196,MATCH($C264,'Entrada de Dados'!$A$6:$A$196,0))</f>
        <v/>
      </c>
      <c r="J264" s="260">
        <f>INDEX('Entrada de Dados'!G$6:G$196,MATCH($C264,'Entrada de Dados'!$A$6:$A$196,0))</f>
        <v/>
      </c>
      <c r="K264" s="260">
        <f>INDEX('Entrada de Dados'!H$6:H$196,MATCH($C264,'Entrada de Dados'!$A$6:$A$196,0))</f>
        <v/>
      </c>
      <c r="L264" s="260">
        <f>INDEX('Entrada de Dados'!I$6:I$196,MATCH($C264,'Entrada de Dados'!$A$6:$A$196,0))</f>
        <v/>
      </c>
      <c r="M264" s="260">
        <f>INDEX('Entrada de Dados'!J$6:J$196,MATCH($C264,'Entrada de Dados'!$A$6:$A$196,0))</f>
        <v/>
      </c>
      <c r="N264" s="260">
        <f>INDEX('Entrada de Dados'!K$6:K$196,MATCH($C264,'Entrada de Dados'!$A$6:$A$196,0))</f>
        <v/>
      </c>
      <c r="O264" s="260">
        <f>INDEX('Entrada de Dados'!L$6:L$196,MATCH($C264,'Entrada de Dados'!$A$6:$A$196,0))</f>
        <v/>
      </c>
      <c r="P264" s="260">
        <f>INDEX('Entrada de Dados'!M$6:M$196,MATCH($C264,'Entrada de Dados'!$A$6:$A$196,0))</f>
        <v/>
      </c>
      <c r="Q264" s="260">
        <f>INDEX('Entrada de Dados'!N$6:N$196,MATCH($C264,'Entrada de Dados'!$A$6:$A$196,0))</f>
        <v/>
      </c>
      <c r="R264" s="260">
        <f>INDEX('Entrada de Dados'!O$6:O$196,MATCH($C264,'Entrada de Dados'!$A$6:$A$196,0))</f>
        <v/>
      </c>
      <c r="S264" s="260">
        <f>INDEX('Entrada de Dados'!P$6:P$196,MATCH($C264,'Entrada de Dados'!$A$6:$A$196,0))</f>
        <v/>
      </c>
      <c r="T264" s="260">
        <f>INDEX('Entrada de Dados'!Q$6:Q$196,MATCH($C264,'Entrada de Dados'!$A$6:$A$196,0))</f>
        <v/>
      </c>
      <c r="U264" s="260">
        <f>INDEX('Entrada de Dados'!R$6:R$196,MATCH($C264,'Entrada de Dados'!$A$6:$A$196,0))</f>
        <v/>
      </c>
      <c r="V264" s="260">
        <f>INDEX('Entrada de Dados'!S$6:S$196,MATCH($C264,'Entrada de Dados'!$A$6:$A$196,0))</f>
        <v/>
      </c>
      <c r="W264" s="260">
        <f>INDEX('Entrada de Dados'!T$6:T$196,MATCH($C264,'Entrada de Dados'!$A$6:$A$196,0))</f>
        <v/>
      </c>
      <c r="X264" s="260">
        <f>INDEX('Entrada de Dados'!U$6:U$196,MATCH($C264,'Entrada de Dados'!$A$6:$A$196,0))</f>
        <v/>
      </c>
    </row>
    <row r="265" ht="15" customHeight="1" s="163">
      <c r="A265" s="258" t="n">
        <v>10</v>
      </c>
      <c r="B265" s="258" t="n"/>
      <c r="C265" s="258" t="inlineStr">
        <is>
          <t>3015</t>
        </is>
      </c>
      <c r="D265" s="259">
        <f>HYPERLINK("#'CENTRO DE EDUCAÇÃO INFANTIL IRM'!A1","CENTRO DE EDUCAÇÃO INFANTIL IRMÃ DULCE")</f>
        <v/>
      </c>
      <c r="E265" s="259" t="inlineStr">
        <is>
          <t>QUARTEIRÃO BRASILEIRO</t>
        </is>
      </c>
      <c r="F265" s="260">
        <f>INDEX('Entrada de Dados'!C$6:C$196,MATCH($C265,'Entrada de Dados'!$A$6:$A$196,0))</f>
        <v/>
      </c>
      <c r="G265" s="260">
        <f>INDEX('Entrada de Dados'!D$6:D$196,MATCH($C265,'Entrada de Dados'!$A$6:$A$196,0))</f>
        <v/>
      </c>
      <c r="H265" s="260">
        <f>INDEX('Entrada de Dados'!E$6:E$196,MATCH($C265,'Entrada de Dados'!$A$6:$A$196,0))</f>
        <v/>
      </c>
      <c r="I265" s="260">
        <f>INDEX('Entrada de Dados'!F$6:F$196,MATCH($C265,'Entrada de Dados'!$A$6:$A$196,0))</f>
        <v/>
      </c>
      <c r="J265" s="260">
        <f>INDEX('Entrada de Dados'!G$6:G$196,MATCH($C265,'Entrada de Dados'!$A$6:$A$196,0))</f>
        <v/>
      </c>
      <c r="K265" s="260">
        <f>INDEX('Entrada de Dados'!H$6:H$196,MATCH($C265,'Entrada de Dados'!$A$6:$A$196,0))</f>
        <v/>
      </c>
      <c r="L265" s="260">
        <f>INDEX('Entrada de Dados'!I$6:I$196,MATCH($C265,'Entrada de Dados'!$A$6:$A$196,0))</f>
        <v/>
      </c>
      <c r="M265" s="260">
        <f>INDEX('Entrada de Dados'!J$6:J$196,MATCH($C265,'Entrada de Dados'!$A$6:$A$196,0))</f>
        <v/>
      </c>
      <c r="N265" s="260">
        <f>INDEX('Entrada de Dados'!K$6:K$196,MATCH($C265,'Entrada de Dados'!$A$6:$A$196,0))</f>
        <v/>
      </c>
      <c r="O265" s="260">
        <f>INDEX('Entrada de Dados'!L$6:L$196,MATCH($C265,'Entrada de Dados'!$A$6:$A$196,0))</f>
        <v/>
      </c>
      <c r="P265" s="260">
        <f>INDEX('Entrada de Dados'!M$6:M$196,MATCH($C265,'Entrada de Dados'!$A$6:$A$196,0))</f>
        <v/>
      </c>
      <c r="Q265" s="260">
        <f>INDEX('Entrada de Dados'!N$6:N$196,MATCH($C265,'Entrada de Dados'!$A$6:$A$196,0))</f>
        <v/>
      </c>
      <c r="R265" s="260">
        <f>INDEX('Entrada de Dados'!O$6:O$196,MATCH($C265,'Entrada de Dados'!$A$6:$A$196,0))</f>
        <v/>
      </c>
      <c r="S265" s="260">
        <f>INDEX('Entrada de Dados'!P$6:P$196,MATCH($C265,'Entrada de Dados'!$A$6:$A$196,0))</f>
        <v/>
      </c>
      <c r="T265" s="260">
        <f>INDEX('Entrada de Dados'!Q$6:Q$196,MATCH($C265,'Entrada de Dados'!$A$6:$A$196,0))</f>
        <v/>
      </c>
      <c r="U265" s="260">
        <f>INDEX('Entrada de Dados'!R$6:R$196,MATCH($C265,'Entrada de Dados'!$A$6:$A$196,0))</f>
        <v/>
      </c>
      <c r="V265" s="260">
        <f>INDEX('Entrada de Dados'!S$6:S$196,MATCH($C265,'Entrada de Dados'!$A$6:$A$196,0))</f>
        <v/>
      </c>
      <c r="W265" s="260">
        <f>INDEX('Entrada de Dados'!T$6:T$196,MATCH($C265,'Entrada de Dados'!$A$6:$A$196,0))</f>
        <v/>
      </c>
      <c r="X265" s="260">
        <f>INDEX('Entrada de Dados'!U$6:U$196,MATCH($C265,'Entrada de Dados'!$A$6:$A$196,0))</f>
        <v/>
      </c>
    </row>
    <row r="266" ht="15" customHeight="1" s="163">
      <c r="A266" s="258" t="n">
        <v>11</v>
      </c>
      <c r="B266" s="258" t="n"/>
      <c r="C266" s="258" t="inlineStr">
        <is>
          <t>2017</t>
        </is>
      </c>
      <c r="D266" s="259">
        <f>HYPERLINK("#'ESCOLA PAROQUIAL NOSSA SENHO 2'!A1","ESCOLA PAROQUIAL NOSSA SENHORA DAS GRAÇAS")</f>
        <v/>
      </c>
      <c r="E266" s="259" t="inlineStr">
        <is>
          <t>QUARTEIRÃO BRASILEIRO</t>
        </is>
      </c>
      <c r="F266" s="260">
        <f>INDEX('Entrada de Dados'!C$6:C$196,MATCH($C266,'Entrada de Dados'!$A$6:$A$196,0))</f>
        <v/>
      </c>
      <c r="G266" s="260">
        <f>INDEX('Entrada de Dados'!D$6:D$196,MATCH($C266,'Entrada de Dados'!$A$6:$A$196,0))</f>
        <v/>
      </c>
      <c r="H266" s="260">
        <f>INDEX('Entrada de Dados'!E$6:E$196,MATCH($C266,'Entrada de Dados'!$A$6:$A$196,0))</f>
        <v/>
      </c>
      <c r="I266" s="260">
        <f>INDEX('Entrada de Dados'!F$6:F$196,MATCH($C266,'Entrada de Dados'!$A$6:$A$196,0))</f>
        <v/>
      </c>
      <c r="J266" s="260">
        <f>INDEX('Entrada de Dados'!G$6:G$196,MATCH($C266,'Entrada de Dados'!$A$6:$A$196,0))</f>
        <v/>
      </c>
      <c r="K266" s="260">
        <f>INDEX('Entrada de Dados'!H$6:H$196,MATCH($C266,'Entrada de Dados'!$A$6:$A$196,0))</f>
        <v/>
      </c>
      <c r="L266" s="260">
        <f>INDEX('Entrada de Dados'!I$6:I$196,MATCH($C266,'Entrada de Dados'!$A$6:$A$196,0))</f>
        <v/>
      </c>
      <c r="M266" s="260">
        <f>INDEX('Entrada de Dados'!J$6:J$196,MATCH($C266,'Entrada de Dados'!$A$6:$A$196,0))</f>
        <v/>
      </c>
      <c r="N266" s="260">
        <f>INDEX('Entrada de Dados'!K$6:K$196,MATCH($C266,'Entrada de Dados'!$A$6:$A$196,0))</f>
        <v/>
      </c>
      <c r="O266" s="260">
        <f>INDEX('Entrada de Dados'!L$6:L$196,MATCH($C266,'Entrada de Dados'!$A$6:$A$196,0))</f>
        <v/>
      </c>
      <c r="P266" s="260">
        <f>INDEX('Entrada de Dados'!M$6:M$196,MATCH($C266,'Entrada de Dados'!$A$6:$A$196,0))</f>
        <v/>
      </c>
      <c r="Q266" s="260">
        <f>INDEX('Entrada de Dados'!N$6:N$196,MATCH($C266,'Entrada de Dados'!$A$6:$A$196,0))</f>
        <v/>
      </c>
      <c r="R266" s="260">
        <f>INDEX('Entrada de Dados'!O$6:O$196,MATCH($C266,'Entrada de Dados'!$A$6:$A$196,0))</f>
        <v/>
      </c>
      <c r="S266" s="260">
        <f>INDEX('Entrada de Dados'!P$6:P$196,MATCH($C266,'Entrada de Dados'!$A$6:$A$196,0))</f>
        <v/>
      </c>
      <c r="T266" s="260">
        <f>INDEX('Entrada de Dados'!Q$6:Q$196,MATCH($C266,'Entrada de Dados'!$A$6:$A$196,0))</f>
        <v/>
      </c>
      <c r="U266" s="260">
        <f>INDEX('Entrada de Dados'!R$6:R$196,MATCH($C266,'Entrada de Dados'!$A$6:$A$196,0))</f>
        <v/>
      </c>
      <c r="V266" s="260">
        <f>INDEX('Entrada de Dados'!S$6:S$196,MATCH($C266,'Entrada de Dados'!$A$6:$A$196,0))</f>
        <v/>
      </c>
      <c r="W266" s="260">
        <f>INDEX('Entrada de Dados'!T$6:T$196,MATCH($C266,'Entrada de Dados'!$A$6:$A$196,0))</f>
        <v/>
      </c>
      <c r="X266" s="260">
        <f>INDEX('Entrada de Dados'!U$6:U$196,MATCH($C266,'Entrada de Dados'!$A$6:$A$196,0))</f>
        <v/>
      </c>
    </row>
    <row r="267" ht="21.75" customHeight="1" s="163">
      <c r="A267" s="265" t="inlineStr">
        <is>
          <t>Peso previsto:</t>
        </is>
      </c>
      <c r="C267" s="266">
        <f>SUM(F255:F266)+SUM(G255:G266)+SUM(H255:H266)+SUM(I255:I266)+SUM(J255:J266)+SUM(K255:K266)+SUM(L255:L266)+SUM(M255:M266)+SUM(N255:N266)+SUM(O255:O266)+SUM(P255:P266)+SUM(Q255:Q266)+SUM(R255:R266)+SUM(S255:S266)+SUM(T255:T266)+SUM(U255:U266)+SUM(W255:W266)+SUM(X255:X266)</f>
        <v/>
      </c>
      <c r="D267" s="265" t="inlineStr">
        <is>
          <t>Peso embarcado (kg):</t>
        </is>
      </c>
      <c r="F267" s="267" t="n"/>
      <c r="G267" s="265" t="inlineStr">
        <is>
          <t>Veículo:</t>
        </is>
      </c>
      <c r="I267" s="267" t="n"/>
      <c r="J267" s="268" t="n"/>
      <c r="K267" s="265" t="inlineStr">
        <is>
          <t>Motorista:</t>
        </is>
      </c>
      <c r="M267" s="267" t="n"/>
      <c r="N267" s="269" t="n"/>
      <c r="O267" s="269" t="n"/>
      <c r="P267" s="269" t="n"/>
      <c r="Q267" s="269" t="n"/>
      <c r="R267" s="269" t="n"/>
      <c r="S267" s="269" t="n"/>
      <c r="T267" s="269" t="n"/>
      <c r="U267" s="269" t="n"/>
      <c r="V267" s="269" t="n"/>
      <c r="W267" s="269" t="n"/>
      <c r="X267" s="268" t="n"/>
    </row>
    <row r="269" ht="19.5" customHeight="1" s="163">
      <c r="A269" s="186" t="inlineStr">
        <is>
          <t>ROTA T8 — MORIN - ALTO DA SERRA - MEIO DA SERRA - SAUDADE - FLORESTA · KOMBI · 14 escolas · 13 paradas físicas</t>
        </is>
      </c>
    </row>
    <row r="270" ht="25.5" customHeight="1" s="163">
      <c r="A270" s="256" t="inlineStr">
        <is>
          <t>Sequência-base: Galpão Itaipava &gt; Morin &gt; Alto da Serra &gt; Meio da Serra &gt; Estrada da Saudade &gt; Floresta &gt; Galpão   Atenção: Meio da Serra está no eixo da RJ-107; moto não é automática. Confirmar parada e retorno do veículo.</t>
        </is>
      </c>
    </row>
    <row r="271" ht="30" customHeight="1" s="163">
      <c r="A271" s="257" t="inlineStr">
        <is>
          <t>PAR.</t>
        </is>
      </c>
      <c r="B271" s="257" t="inlineStr">
        <is>
          <t>SUB</t>
        </is>
      </c>
      <c r="C271" s="257" t="inlineStr">
        <is>
          <t>CÓDIGO</t>
        </is>
      </c>
      <c r="D271" s="257" t="inlineStr">
        <is>
          <t>ESCOLA</t>
        </is>
      </c>
      <c r="E271" s="257" t="inlineStr">
        <is>
          <t>BAIRRO/CORREDOR</t>
        </is>
      </c>
      <c r="F271" s="257" t="inlineStr">
        <is>
          <t>Abacate</t>
        </is>
      </c>
      <c r="G271" s="257" t="inlineStr">
        <is>
          <t>Abobrinha</t>
        </is>
      </c>
      <c r="H271" s="257" t="inlineStr">
        <is>
          <t>Agrião</t>
        </is>
      </c>
      <c r="I271" s="257" t="inlineStr">
        <is>
          <t>Alface lisa</t>
        </is>
      </c>
      <c r="J271" s="257" t="inlineStr">
        <is>
          <t>Banana prata</t>
        </is>
      </c>
      <c r="K271" s="257" t="inlineStr">
        <is>
          <t>Batata inglesa</t>
        </is>
      </c>
      <c r="L271" s="257" t="inlineStr">
        <is>
          <t>Beterraba</t>
        </is>
      </c>
      <c r="M271" s="257" t="inlineStr">
        <is>
          <t>Brócolis</t>
        </is>
      </c>
      <c r="N271" s="257" t="inlineStr">
        <is>
          <t>Cenoura</t>
        </is>
      </c>
      <c r="O271" s="257" t="inlineStr">
        <is>
          <t>Cheiro verde</t>
        </is>
      </c>
      <c r="P271" s="257" t="inlineStr">
        <is>
          <t>Chuchu</t>
        </is>
      </c>
      <c r="Q271" s="257" t="inlineStr">
        <is>
          <t>Couve manteiga</t>
        </is>
      </c>
      <c r="R271" s="257" t="inlineStr">
        <is>
          <t>Couve-flor</t>
        </is>
      </c>
      <c r="S271" s="257" t="inlineStr">
        <is>
          <t>Espinafre</t>
        </is>
      </c>
      <c r="T271" s="257" t="inlineStr">
        <is>
          <t>Maçã gala</t>
        </is>
      </c>
      <c r="U271" s="257" t="inlineStr">
        <is>
          <t>Mel</t>
        </is>
      </c>
      <c r="V271" s="257" t="inlineStr">
        <is>
          <t>Ovos (dz)</t>
        </is>
      </c>
      <c r="W271" s="257" t="inlineStr">
        <is>
          <t>Repolho</t>
        </is>
      </c>
      <c r="X271" s="257" t="inlineStr">
        <is>
          <t>Tangerina ponkan</t>
        </is>
      </c>
    </row>
    <row r="272" ht="15" customHeight="1" s="163">
      <c r="A272" s="258" t="n">
        <v>1</v>
      </c>
      <c r="B272" s="258" t="n"/>
      <c r="C272" s="258" t="inlineStr">
        <is>
          <t>3038</t>
        </is>
      </c>
      <c r="D272" s="259">
        <f>HYPERLINK("#'CEI JORGE ROLANDO DA SILVA'!A1","CEI JORGE ROLANDO DA SILVA")</f>
        <v/>
      </c>
      <c r="E272" s="259" t="inlineStr">
        <is>
          <t>MORIN</t>
        </is>
      </c>
      <c r="F272" s="260">
        <f>INDEX('Entrada de Dados'!C$6:C$196,MATCH($C272,'Entrada de Dados'!$A$6:$A$196,0))</f>
        <v/>
      </c>
      <c r="G272" s="260">
        <f>INDEX('Entrada de Dados'!D$6:D$196,MATCH($C272,'Entrada de Dados'!$A$6:$A$196,0))</f>
        <v/>
      </c>
      <c r="H272" s="260">
        <f>INDEX('Entrada de Dados'!E$6:E$196,MATCH($C272,'Entrada de Dados'!$A$6:$A$196,0))</f>
        <v/>
      </c>
      <c r="I272" s="260">
        <f>INDEX('Entrada de Dados'!F$6:F$196,MATCH($C272,'Entrada de Dados'!$A$6:$A$196,0))</f>
        <v/>
      </c>
      <c r="J272" s="260">
        <f>INDEX('Entrada de Dados'!G$6:G$196,MATCH($C272,'Entrada de Dados'!$A$6:$A$196,0))</f>
        <v/>
      </c>
      <c r="K272" s="260">
        <f>INDEX('Entrada de Dados'!H$6:H$196,MATCH($C272,'Entrada de Dados'!$A$6:$A$196,0))</f>
        <v/>
      </c>
      <c r="L272" s="260">
        <f>INDEX('Entrada de Dados'!I$6:I$196,MATCH($C272,'Entrada de Dados'!$A$6:$A$196,0))</f>
        <v/>
      </c>
      <c r="M272" s="260">
        <f>INDEX('Entrada de Dados'!J$6:J$196,MATCH($C272,'Entrada de Dados'!$A$6:$A$196,0))</f>
        <v/>
      </c>
      <c r="N272" s="260">
        <f>INDEX('Entrada de Dados'!K$6:K$196,MATCH($C272,'Entrada de Dados'!$A$6:$A$196,0))</f>
        <v/>
      </c>
      <c r="O272" s="260">
        <f>INDEX('Entrada de Dados'!L$6:L$196,MATCH($C272,'Entrada de Dados'!$A$6:$A$196,0))</f>
        <v/>
      </c>
      <c r="P272" s="260">
        <f>INDEX('Entrada de Dados'!M$6:M$196,MATCH($C272,'Entrada de Dados'!$A$6:$A$196,0))</f>
        <v/>
      </c>
      <c r="Q272" s="260">
        <f>INDEX('Entrada de Dados'!N$6:N$196,MATCH($C272,'Entrada de Dados'!$A$6:$A$196,0))</f>
        <v/>
      </c>
      <c r="R272" s="260">
        <f>INDEX('Entrada de Dados'!O$6:O$196,MATCH($C272,'Entrada de Dados'!$A$6:$A$196,0))</f>
        <v/>
      </c>
      <c r="S272" s="260">
        <f>INDEX('Entrada de Dados'!P$6:P$196,MATCH($C272,'Entrada de Dados'!$A$6:$A$196,0))</f>
        <v/>
      </c>
      <c r="T272" s="260">
        <f>INDEX('Entrada de Dados'!Q$6:Q$196,MATCH($C272,'Entrada de Dados'!$A$6:$A$196,0))</f>
        <v/>
      </c>
      <c r="U272" s="260">
        <f>INDEX('Entrada de Dados'!R$6:R$196,MATCH($C272,'Entrada de Dados'!$A$6:$A$196,0))</f>
        <v/>
      </c>
      <c r="V272" s="260">
        <f>INDEX('Entrada de Dados'!S$6:S$196,MATCH($C272,'Entrada de Dados'!$A$6:$A$196,0))</f>
        <v/>
      </c>
      <c r="W272" s="260">
        <f>INDEX('Entrada de Dados'!T$6:T$196,MATCH($C272,'Entrada de Dados'!$A$6:$A$196,0))</f>
        <v/>
      </c>
      <c r="X272" s="260">
        <f>INDEX('Entrada de Dados'!U$6:U$196,MATCH($C272,'Entrada de Dados'!$A$6:$A$196,0))</f>
        <v/>
      </c>
    </row>
    <row r="273" ht="15" customHeight="1" s="163">
      <c r="A273" s="258" t="n">
        <v>2</v>
      </c>
      <c r="B273" s="258" t="n"/>
      <c r="C273" s="258" t="inlineStr">
        <is>
          <t>2013</t>
        </is>
      </c>
      <c r="D273" s="259">
        <f>HYPERLINK("#'ESCOLA PAROQUIAL NOSSA SENHO 3'!A1","ESCOLA PAROQUIAL NOSSA SENHORA DA GLÓRIA")</f>
        <v/>
      </c>
      <c r="E273" s="259" t="inlineStr">
        <is>
          <t>MORIN</t>
        </is>
      </c>
      <c r="F273" s="260">
        <f>INDEX('Entrada de Dados'!C$6:C$196,MATCH($C273,'Entrada de Dados'!$A$6:$A$196,0))</f>
        <v/>
      </c>
      <c r="G273" s="260">
        <f>INDEX('Entrada de Dados'!D$6:D$196,MATCH($C273,'Entrada de Dados'!$A$6:$A$196,0))</f>
        <v/>
      </c>
      <c r="H273" s="260">
        <f>INDEX('Entrada de Dados'!E$6:E$196,MATCH($C273,'Entrada de Dados'!$A$6:$A$196,0))</f>
        <v/>
      </c>
      <c r="I273" s="260">
        <f>INDEX('Entrada de Dados'!F$6:F$196,MATCH($C273,'Entrada de Dados'!$A$6:$A$196,0))</f>
        <v/>
      </c>
      <c r="J273" s="260">
        <f>INDEX('Entrada de Dados'!G$6:G$196,MATCH($C273,'Entrada de Dados'!$A$6:$A$196,0))</f>
        <v/>
      </c>
      <c r="K273" s="260">
        <f>INDEX('Entrada de Dados'!H$6:H$196,MATCH($C273,'Entrada de Dados'!$A$6:$A$196,0))</f>
        <v/>
      </c>
      <c r="L273" s="260">
        <f>INDEX('Entrada de Dados'!I$6:I$196,MATCH($C273,'Entrada de Dados'!$A$6:$A$196,0))</f>
        <v/>
      </c>
      <c r="M273" s="260">
        <f>INDEX('Entrada de Dados'!J$6:J$196,MATCH($C273,'Entrada de Dados'!$A$6:$A$196,0))</f>
        <v/>
      </c>
      <c r="N273" s="260">
        <f>INDEX('Entrada de Dados'!K$6:K$196,MATCH($C273,'Entrada de Dados'!$A$6:$A$196,0))</f>
        <v/>
      </c>
      <c r="O273" s="260">
        <f>INDEX('Entrada de Dados'!L$6:L$196,MATCH($C273,'Entrada de Dados'!$A$6:$A$196,0))</f>
        <v/>
      </c>
      <c r="P273" s="260">
        <f>INDEX('Entrada de Dados'!M$6:M$196,MATCH($C273,'Entrada de Dados'!$A$6:$A$196,0))</f>
        <v/>
      </c>
      <c r="Q273" s="260">
        <f>INDEX('Entrada de Dados'!N$6:N$196,MATCH($C273,'Entrada de Dados'!$A$6:$A$196,0))</f>
        <v/>
      </c>
      <c r="R273" s="260">
        <f>INDEX('Entrada de Dados'!O$6:O$196,MATCH($C273,'Entrada de Dados'!$A$6:$A$196,0))</f>
        <v/>
      </c>
      <c r="S273" s="260">
        <f>INDEX('Entrada de Dados'!P$6:P$196,MATCH($C273,'Entrada de Dados'!$A$6:$A$196,0))</f>
        <v/>
      </c>
      <c r="T273" s="260">
        <f>INDEX('Entrada de Dados'!Q$6:Q$196,MATCH($C273,'Entrada de Dados'!$A$6:$A$196,0))</f>
        <v/>
      </c>
      <c r="U273" s="260">
        <f>INDEX('Entrada de Dados'!R$6:R$196,MATCH($C273,'Entrada de Dados'!$A$6:$A$196,0))</f>
        <v/>
      </c>
      <c r="V273" s="260">
        <f>INDEX('Entrada de Dados'!S$6:S$196,MATCH($C273,'Entrada de Dados'!$A$6:$A$196,0))</f>
        <v/>
      </c>
      <c r="W273" s="260">
        <f>INDEX('Entrada de Dados'!T$6:T$196,MATCH($C273,'Entrada de Dados'!$A$6:$A$196,0))</f>
        <v/>
      </c>
      <c r="X273" s="260">
        <f>INDEX('Entrada de Dados'!U$6:U$196,MATCH($C273,'Entrada de Dados'!$A$6:$A$196,0))</f>
        <v/>
      </c>
    </row>
    <row r="274" ht="15" customHeight="1" s="163">
      <c r="A274" s="258" t="n">
        <v>3</v>
      </c>
      <c r="B274" s="258" t="n"/>
      <c r="C274" s="258" t="inlineStr">
        <is>
          <t>2008</t>
        </is>
      </c>
      <c r="D274" s="259">
        <f>HYPERLINK("#'ESCOLA GERMANO VALENTE'!A1","ESCOLA GERMANO VALENTE")</f>
        <v/>
      </c>
      <c r="E274" s="259" t="inlineStr">
        <is>
          <t>MORIN</t>
        </is>
      </c>
      <c r="F274" s="260">
        <f>INDEX('Entrada de Dados'!C$6:C$196,MATCH($C274,'Entrada de Dados'!$A$6:$A$196,0))</f>
        <v/>
      </c>
      <c r="G274" s="260">
        <f>INDEX('Entrada de Dados'!D$6:D$196,MATCH($C274,'Entrada de Dados'!$A$6:$A$196,0))</f>
        <v/>
      </c>
      <c r="H274" s="260">
        <f>INDEX('Entrada de Dados'!E$6:E$196,MATCH($C274,'Entrada de Dados'!$A$6:$A$196,0))</f>
        <v/>
      </c>
      <c r="I274" s="260">
        <f>INDEX('Entrada de Dados'!F$6:F$196,MATCH($C274,'Entrada de Dados'!$A$6:$A$196,0))</f>
        <v/>
      </c>
      <c r="J274" s="260">
        <f>INDEX('Entrada de Dados'!G$6:G$196,MATCH($C274,'Entrada de Dados'!$A$6:$A$196,0))</f>
        <v/>
      </c>
      <c r="K274" s="260">
        <f>INDEX('Entrada de Dados'!H$6:H$196,MATCH($C274,'Entrada de Dados'!$A$6:$A$196,0))</f>
        <v/>
      </c>
      <c r="L274" s="260">
        <f>INDEX('Entrada de Dados'!I$6:I$196,MATCH($C274,'Entrada de Dados'!$A$6:$A$196,0))</f>
        <v/>
      </c>
      <c r="M274" s="260">
        <f>INDEX('Entrada de Dados'!J$6:J$196,MATCH($C274,'Entrada de Dados'!$A$6:$A$196,0))</f>
        <v/>
      </c>
      <c r="N274" s="260">
        <f>INDEX('Entrada de Dados'!K$6:K$196,MATCH($C274,'Entrada de Dados'!$A$6:$A$196,0))</f>
        <v/>
      </c>
      <c r="O274" s="260">
        <f>INDEX('Entrada de Dados'!L$6:L$196,MATCH($C274,'Entrada de Dados'!$A$6:$A$196,0))</f>
        <v/>
      </c>
      <c r="P274" s="260">
        <f>INDEX('Entrada de Dados'!M$6:M$196,MATCH($C274,'Entrada de Dados'!$A$6:$A$196,0))</f>
        <v/>
      </c>
      <c r="Q274" s="260">
        <f>INDEX('Entrada de Dados'!N$6:N$196,MATCH($C274,'Entrada de Dados'!$A$6:$A$196,0))</f>
        <v/>
      </c>
      <c r="R274" s="260">
        <f>INDEX('Entrada de Dados'!O$6:O$196,MATCH($C274,'Entrada de Dados'!$A$6:$A$196,0))</f>
        <v/>
      </c>
      <c r="S274" s="260">
        <f>INDEX('Entrada de Dados'!P$6:P$196,MATCH($C274,'Entrada de Dados'!$A$6:$A$196,0))</f>
        <v/>
      </c>
      <c r="T274" s="260">
        <f>INDEX('Entrada de Dados'!Q$6:Q$196,MATCH($C274,'Entrada de Dados'!$A$6:$A$196,0))</f>
        <v/>
      </c>
      <c r="U274" s="260">
        <f>INDEX('Entrada de Dados'!R$6:R$196,MATCH($C274,'Entrada de Dados'!$A$6:$A$196,0))</f>
        <v/>
      </c>
      <c r="V274" s="260">
        <f>INDEX('Entrada de Dados'!S$6:S$196,MATCH($C274,'Entrada de Dados'!$A$6:$A$196,0))</f>
        <v/>
      </c>
      <c r="W274" s="260">
        <f>INDEX('Entrada de Dados'!T$6:T$196,MATCH($C274,'Entrada de Dados'!$A$6:$A$196,0))</f>
        <v/>
      </c>
      <c r="X274" s="260">
        <f>INDEX('Entrada de Dados'!U$6:U$196,MATCH($C274,'Entrada de Dados'!$A$6:$A$196,0))</f>
        <v/>
      </c>
    </row>
    <row r="275" ht="15" customHeight="1" s="163">
      <c r="A275" s="258" t="n">
        <v>4</v>
      </c>
      <c r="B275" s="258" t="n"/>
      <c r="C275" s="258" t="inlineStr">
        <is>
          <t>1009</t>
        </is>
      </c>
      <c r="D275" s="259">
        <f>HYPERLINK("#'E M LUIZ CARLOS SOARES'!A1","E M LUIZ CARLOS SOARES")</f>
        <v/>
      </c>
      <c r="E275" s="259" t="inlineStr">
        <is>
          <t>MORIN</t>
        </is>
      </c>
      <c r="F275" s="260">
        <f>INDEX('Entrada de Dados'!C$6:C$196,MATCH($C275,'Entrada de Dados'!$A$6:$A$196,0))</f>
        <v/>
      </c>
      <c r="G275" s="260">
        <f>INDEX('Entrada de Dados'!D$6:D$196,MATCH($C275,'Entrada de Dados'!$A$6:$A$196,0))</f>
        <v/>
      </c>
      <c r="H275" s="260">
        <f>INDEX('Entrada de Dados'!E$6:E$196,MATCH($C275,'Entrada de Dados'!$A$6:$A$196,0))</f>
        <v/>
      </c>
      <c r="I275" s="260">
        <f>INDEX('Entrada de Dados'!F$6:F$196,MATCH($C275,'Entrada de Dados'!$A$6:$A$196,0))</f>
        <v/>
      </c>
      <c r="J275" s="260">
        <f>INDEX('Entrada de Dados'!G$6:G$196,MATCH($C275,'Entrada de Dados'!$A$6:$A$196,0))</f>
        <v/>
      </c>
      <c r="K275" s="260">
        <f>INDEX('Entrada de Dados'!H$6:H$196,MATCH($C275,'Entrada de Dados'!$A$6:$A$196,0))</f>
        <v/>
      </c>
      <c r="L275" s="260">
        <f>INDEX('Entrada de Dados'!I$6:I$196,MATCH($C275,'Entrada de Dados'!$A$6:$A$196,0))</f>
        <v/>
      </c>
      <c r="M275" s="260">
        <f>INDEX('Entrada de Dados'!J$6:J$196,MATCH($C275,'Entrada de Dados'!$A$6:$A$196,0))</f>
        <v/>
      </c>
      <c r="N275" s="260">
        <f>INDEX('Entrada de Dados'!K$6:K$196,MATCH($C275,'Entrada de Dados'!$A$6:$A$196,0))</f>
        <v/>
      </c>
      <c r="O275" s="260">
        <f>INDEX('Entrada de Dados'!L$6:L$196,MATCH($C275,'Entrada de Dados'!$A$6:$A$196,0))</f>
        <v/>
      </c>
      <c r="P275" s="260">
        <f>INDEX('Entrada de Dados'!M$6:M$196,MATCH($C275,'Entrada de Dados'!$A$6:$A$196,0))</f>
        <v/>
      </c>
      <c r="Q275" s="260">
        <f>INDEX('Entrada de Dados'!N$6:N$196,MATCH($C275,'Entrada de Dados'!$A$6:$A$196,0))</f>
        <v/>
      </c>
      <c r="R275" s="260">
        <f>INDEX('Entrada de Dados'!O$6:O$196,MATCH($C275,'Entrada de Dados'!$A$6:$A$196,0))</f>
        <v/>
      </c>
      <c r="S275" s="260">
        <f>INDEX('Entrada de Dados'!P$6:P$196,MATCH($C275,'Entrada de Dados'!$A$6:$A$196,0))</f>
        <v/>
      </c>
      <c r="T275" s="260">
        <f>INDEX('Entrada de Dados'!Q$6:Q$196,MATCH($C275,'Entrada de Dados'!$A$6:$A$196,0))</f>
        <v/>
      </c>
      <c r="U275" s="260">
        <f>INDEX('Entrada de Dados'!R$6:R$196,MATCH($C275,'Entrada de Dados'!$A$6:$A$196,0))</f>
        <v/>
      </c>
      <c r="V275" s="260">
        <f>INDEX('Entrada de Dados'!S$6:S$196,MATCH($C275,'Entrada de Dados'!$A$6:$A$196,0))</f>
        <v/>
      </c>
      <c r="W275" s="260">
        <f>INDEX('Entrada de Dados'!T$6:T$196,MATCH($C275,'Entrada de Dados'!$A$6:$A$196,0))</f>
        <v/>
      </c>
      <c r="X275" s="260">
        <f>INDEX('Entrada de Dados'!U$6:U$196,MATCH($C275,'Entrada de Dados'!$A$6:$A$196,0))</f>
        <v/>
      </c>
    </row>
    <row r="276" ht="15" customHeight="1" s="163">
      <c r="A276" s="258" t="n">
        <v>5</v>
      </c>
      <c r="B276" s="258" t="n"/>
      <c r="C276" s="258" t="inlineStr">
        <is>
          <t>1005</t>
        </is>
      </c>
      <c r="D276" s="259">
        <f>HYPERLINK("#'E M CLEMENTE FERNANDES'!A1","E M CLEMENTE FERNANDES")</f>
        <v/>
      </c>
      <c r="E276" s="259" t="inlineStr">
        <is>
          <t>ALTO DA SERRA</t>
        </is>
      </c>
      <c r="F276" s="260">
        <f>INDEX('Entrada de Dados'!C$6:C$196,MATCH($C276,'Entrada de Dados'!$A$6:$A$196,0))</f>
        <v/>
      </c>
      <c r="G276" s="260">
        <f>INDEX('Entrada de Dados'!D$6:D$196,MATCH($C276,'Entrada de Dados'!$A$6:$A$196,0))</f>
        <v/>
      </c>
      <c r="H276" s="260">
        <f>INDEX('Entrada de Dados'!E$6:E$196,MATCH($C276,'Entrada de Dados'!$A$6:$A$196,0))</f>
        <v/>
      </c>
      <c r="I276" s="260">
        <f>INDEX('Entrada de Dados'!F$6:F$196,MATCH($C276,'Entrada de Dados'!$A$6:$A$196,0))</f>
        <v/>
      </c>
      <c r="J276" s="260">
        <f>INDEX('Entrada de Dados'!G$6:G$196,MATCH($C276,'Entrada de Dados'!$A$6:$A$196,0))</f>
        <v/>
      </c>
      <c r="K276" s="260">
        <f>INDEX('Entrada de Dados'!H$6:H$196,MATCH($C276,'Entrada de Dados'!$A$6:$A$196,0))</f>
        <v/>
      </c>
      <c r="L276" s="260">
        <f>INDEX('Entrada de Dados'!I$6:I$196,MATCH($C276,'Entrada de Dados'!$A$6:$A$196,0))</f>
        <v/>
      </c>
      <c r="M276" s="260">
        <f>INDEX('Entrada de Dados'!J$6:J$196,MATCH($C276,'Entrada de Dados'!$A$6:$A$196,0))</f>
        <v/>
      </c>
      <c r="N276" s="260">
        <f>INDEX('Entrada de Dados'!K$6:K$196,MATCH($C276,'Entrada de Dados'!$A$6:$A$196,0))</f>
        <v/>
      </c>
      <c r="O276" s="260">
        <f>INDEX('Entrada de Dados'!L$6:L$196,MATCH($C276,'Entrada de Dados'!$A$6:$A$196,0))</f>
        <v/>
      </c>
      <c r="P276" s="260">
        <f>INDEX('Entrada de Dados'!M$6:M$196,MATCH($C276,'Entrada de Dados'!$A$6:$A$196,0))</f>
        <v/>
      </c>
      <c r="Q276" s="260">
        <f>INDEX('Entrada de Dados'!N$6:N$196,MATCH($C276,'Entrada de Dados'!$A$6:$A$196,0))</f>
        <v/>
      </c>
      <c r="R276" s="260">
        <f>INDEX('Entrada de Dados'!O$6:O$196,MATCH($C276,'Entrada de Dados'!$A$6:$A$196,0))</f>
        <v/>
      </c>
      <c r="S276" s="260">
        <f>INDEX('Entrada de Dados'!P$6:P$196,MATCH($C276,'Entrada de Dados'!$A$6:$A$196,0))</f>
        <v/>
      </c>
      <c r="T276" s="260">
        <f>INDEX('Entrada de Dados'!Q$6:Q$196,MATCH($C276,'Entrada de Dados'!$A$6:$A$196,0))</f>
        <v/>
      </c>
      <c r="U276" s="260">
        <f>INDEX('Entrada de Dados'!R$6:R$196,MATCH($C276,'Entrada de Dados'!$A$6:$A$196,0))</f>
        <v/>
      </c>
      <c r="V276" s="260">
        <f>INDEX('Entrada de Dados'!S$6:S$196,MATCH($C276,'Entrada de Dados'!$A$6:$A$196,0))</f>
        <v/>
      </c>
      <c r="W276" s="260">
        <f>INDEX('Entrada de Dados'!T$6:T$196,MATCH($C276,'Entrada de Dados'!$A$6:$A$196,0))</f>
        <v/>
      </c>
      <c r="X276" s="260">
        <f>INDEX('Entrada de Dados'!U$6:U$196,MATCH($C276,'Entrada de Dados'!$A$6:$A$196,0))</f>
        <v/>
      </c>
    </row>
    <row r="277" ht="15" customHeight="1" s="163">
      <c r="A277" s="258" t="n">
        <v>6</v>
      </c>
      <c r="B277" s="258" t="n"/>
      <c r="C277" s="258" t="inlineStr">
        <is>
          <t>3022</t>
        </is>
      </c>
      <c r="D277" s="259">
        <f>HYPERLINK("#'CEI DEISE ELOY GOMES'!A1","CEI DEISE ELOY GOMES")</f>
        <v/>
      </c>
      <c r="E277" s="259" t="inlineStr">
        <is>
          <t>ALTO DA SERRA</t>
        </is>
      </c>
      <c r="F277" s="260">
        <f>INDEX('Entrada de Dados'!C$6:C$196,MATCH($C277,'Entrada de Dados'!$A$6:$A$196,0))</f>
        <v/>
      </c>
      <c r="G277" s="260">
        <f>INDEX('Entrada de Dados'!D$6:D$196,MATCH($C277,'Entrada de Dados'!$A$6:$A$196,0))</f>
        <v/>
      </c>
      <c r="H277" s="260">
        <f>INDEX('Entrada de Dados'!E$6:E$196,MATCH($C277,'Entrada de Dados'!$A$6:$A$196,0))</f>
        <v/>
      </c>
      <c r="I277" s="260">
        <f>INDEX('Entrada de Dados'!F$6:F$196,MATCH($C277,'Entrada de Dados'!$A$6:$A$196,0))</f>
        <v/>
      </c>
      <c r="J277" s="260">
        <f>INDEX('Entrada de Dados'!G$6:G$196,MATCH($C277,'Entrada de Dados'!$A$6:$A$196,0))</f>
        <v/>
      </c>
      <c r="K277" s="260">
        <f>INDEX('Entrada de Dados'!H$6:H$196,MATCH($C277,'Entrada de Dados'!$A$6:$A$196,0))</f>
        <v/>
      </c>
      <c r="L277" s="260">
        <f>INDEX('Entrada de Dados'!I$6:I$196,MATCH($C277,'Entrada de Dados'!$A$6:$A$196,0))</f>
        <v/>
      </c>
      <c r="M277" s="260">
        <f>INDEX('Entrada de Dados'!J$6:J$196,MATCH($C277,'Entrada de Dados'!$A$6:$A$196,0))</f>
        <v/>
      </c>
      <c r="N277" s="260">
        <f>INDEX('Entrada de Dados'!K$6:K$196,MATCH($C277,'Entrada de Dados'!$A$6:$A$196,0))</f>
        <v/>
      </c>
      <c r="O277" s="260">
        <f>INDEX('Entrada de Dados'!L$6:L$196,MATCH($C277,'Entrada de Dados'!$A$6:$A$196,0))</f>
        <v/>
      </c>
      <c r="P277" s="260">
        <f>INDEX('Entrada de Dados'!M$6:M$196,MATCH($C277,'Entrada de Dados'!$A$6:$A$196,0))</f>
        <v/>
      </c>
      <c r="Q277" s="260">
        <f>INDEX('Entrada de Dados'!N$6:N$196,MATCH($C277,'Entrada de Dados'!$A$6:$A$196,0))</f>
        <v/>
      </c>
      <c r="R277" s="260">
        <f>INDEX('Entrada de Dados'!O$6:O$196,MATCH($C277,'Entrada de Dados'!$A$6:$A$196,0))</f>
        <v/>
      </c>
      <c r="S277" s="260">
        <f>INDEX('Entrada de Dados'!P$6:P$196,MATCH($C277,'Entrada de Dados'!$A$6:$A$196,0))</f>
        <v/>
      </c>
      <c r="T277" s="260">
        <f>INDEX('Entrada de Dados'!Q$6:Q$196,MATCH($C277,'Entrada de Dados'!$A$6:$A$196,0))</f>
        <v/>
      </c>
      <c r="U277" s="260">
        <f>INDEX('Entrada de Dados'!R$6:R$196,MATCH($C277,'Entrada de Dados'!$A$6:$A$196,0))</f>
        <v/>
      </c>
      <c r="V277" s="260">
        <f>INDEX('Entrada de Dados'!S$6:S$196,MATCH($C277,'Entrada de Dados'!$A$6:$A$196,0))</f>
        <v/>
      </c>
      <c r="W277" s="260">
        <f>INDEX('Entrada de Dados'!T$6:T$196,MATCH($C277,'Entrada de Dados'!$A$6:$A$196,0))</f>
        <v/>
      </c>
      <c r="X277" s="260">
        <f>INDEX('Entrada de Dados'!U$6:U$196,MATCH($C277,'Entrada de Dados'!$A$6:$A$196,0))</f>
        <v/>
      </c>
    </row>
    <row r="278" ht="15" customHeight="1" s="163">
      <c r="A278" s="261" t="n">
        <v>7</v>
      </c>
      <c r="B278" s="261" t="inlineStr">
        <is>
          <t>A</t>
        </is>
      </c>
      <c r="C278" s="262" t="inlineStr">
        <is>
          <t>1078</t>
        </is>
      </c>
      <c r="D278" s="263">
        <f>HYPERLINK("#'E M GERALDO VENTURA DIAS'!A1","E M GERALDO VENTURA DIAS")</f>
        <v/>
      </c>
      <c r="E278" s="263" t="inlineStr">
        <is>
          <t>ALTO DA SERRA</t>
        </is>
      </c>
      <c r="F278" s="264">
        <f>INDEX('Entrada de Dados'!C$6:C$196,MATCH($C278,'Entrada de Dados'!$A$6:$A$196,0))</f>
        <v/>
      </c>
      <c r="G278" s="264">
        <f>INDEX('Entrada de Dados'!D$6:D$196,MATCH($C278,'Entrada de Dados'!$A$6:$A$196,0))</f>
        <v/>
      </c>
      <c r="H278" s="264">
        <f>INDEX('Entrada de Dados'!E$6:E$196,MATCH($C278,'Entrada de Dados'!$A$6:$A$196,0))</f>
        <v/>
      </c>
      <c r="I278" s="264">
        <f>INDEX('Entrada de Dados'!F$6:F$196,MATCH($C278,'Entrada de Dados'!$A$6:$A$196,0))</f>
        <v/>
      </c>
      <c r="J278" s="264">
        <f>INDEX('Entrada de Dados'!G$6:G$196,MATCH($C278,'Entrada de Dados'!$A$6:$A$196,0))</f>
        <v/>
      </c>
      <c r="K278" s="264">
        <f>INDEX('Entrada de Dados'!H$6:H$196,MATCH($C278,'Entrada de Dados'!$A$6:$A$196,0))</f>
        <v/>
      </c>
      <c r="L278" s="264">
        <f>INDEX('Entrada de Dados'!I$6:I$196,MATCH($C278,'Entrada de Dados'!$A$6:$A$196,0))</f>
        <v/>
      </c>
      <c r="M278" s="264">
        <f>INDEX('Entrada de Dados'!J$6:J$196,MATCH($C278,'Entrada de Dados'!$A$6:$A$196,0))</f>
        <v/>
      </c>
      <c r="N278" s="264">
        <f>INDEX('Entrada de Dados'!K$6:K$196,MATCH($C278,'Entrada de Dados'!$A$6:$A$196,0))</f>
        <v/>
      </c>
      <c r="O278" s="264">
        <f>INDEX('Entrada de Dados'!L$6:L$196,MATCH($C278,'Entrada de Dados'!$A$6:$A$196,0))</f>
        <v/>
      </c>
      <c r="P278" s="264">
        <f>INDEX('Entrada de Dados'!M$6:M$196,MATCH($C278,'Entrada de Dados'!$A$6:$A$196,0))</f>
        <v/>
      </c>
      <c r="Q278" s="264">
        <f>INDEX('Entrada de Dados'!N$6:N$196,MATCH($C278,'Entrada de Dados'!$A$6:$A$196,0))</f>
        <v/>
      </c>
      <c r="R278" s="264">
        <f>INDEX('Entrada de Dados'!O$6:O$196,MATCH($C278,'Entrada de Dados'!$A$6:$A$196,0))</f>
        <v/>
      </c>
      <c r="S278" s="264">
        <f>INDEX('Entrada de Dados'!P$6:P$196,MATCH($C278,'Entrada de Dados'!$A$6:$A$196,0))</f>
        <v/>
      </c>
      <c r="T278" s="264">
        <f>INDEX('Entrada de Dados'!Q$6:Q$196,MATCH($C278,'Entrada de Dados'!$A$6:$A$196,0))</f>
        <v/>
      </c>
      <c r="U278" s="264">
        <f>INDEX('Entrada de Dados'!R$6:R$196,MATCH($C278,'Entrada de Dados'!$A$6:$A$196,0))</f>
        <v/>
      </c>
      <c r="V278" s="264">
        <f>INDEX('Entrada de Dados'!S$6:S$196,MATCH($C278,'Entrada de Dados'!$A$6:$A$196,0))</f>
        <v/>
      </c>
      <c r="W278" s="264">
        <f>INDEX('Entrada de Dados'!T$6:T$196,MATCH($C278,'Entrada de Dados'!$A$6:$A$196,0))</f>
        <v/>
      </c>
      <c r="X278" s="264">
        <f>INDEX('Entrada de Dados'!U$6:U$196,MATCH($C278,'Entrada de Dados'!$A$6:$A$196,0))</f>
        <v/>
      </c>
    </row>
    <row r="279" ht="15" customHeight="1" s="163">
      <c r="A279" s="261" t="n">
        <v>7</v>
      </c>
      <c r="B279" s="261" t="inlineStr">
        <is>
          <t>B</t>
        </is>
      </c>
      <c r="C279" s="262" t="inlineStr">
        <is>
          <t>3019</t>
        </is>
      </c>
      <c r="D279" s="263">
        <f>HYPERLINK("#'CEI PROFª ROSANGELA DA SILVA LE'!A1","CEI PROFª ROSANGELA DA SILVA LEONARDO")</f>
        <v/>
      </c>
      <c r="E279" s="263" t="inlineStr">
        <is>
          <t>ALTO DA SERRA</t>
        </is>
      </c>
      <c r="F279" s="264">
        <f>INDEX('Entrada de Dados'!C$6:C$196,MATCH($C279,'Entrada de Dados'!$A$6:$A$196,0))</f>
        <v/>
      </c>
      <c r="G279" s="264">
        <f>INDEX('Entrada de Dados'!D$6:D$196,MATCH($C279,'Entrada de Dados'!$A$6:$A$196,0))</f>
        <v/>
      </c>
      <c r="H279" s="264">
        <f>INDEX('Entrada de Dados'!E$6:E$196,MATCH($C279,'Entrada de Dados'!$A$6:$A$196,0))</f>
        <v/>
      </c>
      <c r="I279" s="264">
        <f>INDEX('Entrada de Dados'!F$6:F$196,MATCH($C279,'Entrada de Dados'!$A$6:$A$196,0))</f>
        <v/>
      </c>
      <c r="J279" s="264">
        <f>INDEX('Entrada de Dados'!G$6:G$196,MATCH($C279,'Entrada de Dados'!$A$6:$A$196,0))</f>
        <v/>
      </c>
      <c r="K279" s="264">
        <f>INDEX('Entrada de Dados'!H$6:H$196,MATCH($C279,'Entrada de Dados'!$A$6:$A$196,0))</f>
        <v/>
      </c>
      <c r="L279" s="264">
        <f>INDEX('Entrada de Dados'!I$6:I$196,MATCH($C279,'Entrada de Dados'!$A$6:$A$196,0))</f>
        <v/>
      </c>
      <c r="M279" s="264">
        <f>INDEX('Entrada de Dados'!J$6:J$196,MATCH($C279,'Entrada de Dados'!$A$6:$A$196,0))</f>
        <v/>
      </c>
      <c r="N279" s="264">
        <f>INDEX('Entrada de Dados'!K$6:K$196,MATCH($C279,'Entrada de Dados'!$A$6:$A$196,0))</f>
        <v/>
      </c>
      <c r="O279" s="264">
        <f>INDEX('Entrada de Dados'!L$6:L$196,MATCH($C279,'Entrada de Dados'!$A$6:$A$196,0))</f>
        <v/>
      </c>
      <c r="P279" s="264">
        <f>INDEX('Entrada de Dados'!M$6:M$196,MATCH($C279,'Entrada de Dados'!$A$6:$A$196,0))</f>
        <v/>
      </c>
      <c r="Q279" s="264">
        <f>INDEX('Entrada de Dados'!N$6:N$196,MATCH($C279,'Entrada de Dados'!$A$6:$A$196,0))</f>
        <v/>
      </c>
      <c r="R279" s="264">
        <f>INDEX('Entrada de Dados'!O$6:O$196,MATCH($C279,'Entrada de Dados'!$A$6:$A$196,0))</f>
        <v/>
      </c>
      <c r="S279" s="264">
        <f>INDEX('Entrada de Dados'!P$6:P$196,MATCH($C279,'Entrada de Dados'!$A$6:$A$196,0))</f>
        <v/>
      </c>
      <c r="T279" s="264">
        <f>INDEX('Entrada de Dados'!Q$6:Q$196,MATCH($C279,'Entrada de Dados'!$A$6:$A$196,0))</f>
        <v/>
      </c>
      <c r="U279" s="264">
        <f>INDEX('Entrada de Dados'!R$6:R$196,MATCH($C279,'Entrada de Dados'!$A$6:$A$196,0))</f>
        <v/>
      </c>
      <c r="V279" s="264">
        <f>INDEX('Entrada de Dados'!S$6:S$196,MATCH($C279,'Entrada de Dados'!$A$6:$A$196,0))</f>
        <v/>
      </c>
      <c r="W279" s="264">
        <f>INDEX('Entrada de Dados'!T$6:T$196,MATCH($C279,'Entrada de Dados'!$A$6:$A$196,0))</f>
        <v/>
      </c>
      <c r="X279" s="264">
        <f>INDEX('Entrada de Dados'!U$6:U$196,MATCH($C279,'Entrada de Dados'!$A$6:$A$196,0))</f>
        <v/>
      </c>
    </row>
    <row r="280" ht="15" customHeight="1" s="163">
      <c r="A280" s="258" t="n">
        <v>8</v>
      </c>
      <c r="B280" s="258" t="n"/>
      <c r="C280" s="258" t="inlineStr">
        <is>
          <t>3031</t>
        </is>
      </c>
      <c r="D280" s="259">
        <f>HYPERLINK("#'CEI PROFª SONIA REGINA SCUDESE '!A1","CEI PROFª SONIA REGINA SCUDESE DESSIMONI PINTO")</f>
        <v/>
      </c>
      <c r="E280" s="259" t="inlineStr">
        <is>
          <t>ALTO DA SERRA</t>
        </is>
      </c>
      <c r="F280" s="260">
        <f>INDEX('Entrada de Dados'!C$6:C$196,MATCH($C280,'Entrada de Dados'!$A$6:$A$196,0))</f>
        <v/>
      </c>
      <c r="G280" s="260">
        <f>INDEX('Entrada de Dados'!D$6:D$196,MATCH($C280,'Entrada de Dados'!$A$6:$A$196,0))</f>
        <v/>
      </c>
      <c r="H280" s="260">
        <f>INDEX('Entrada de Dados'!E$6:E$196,MATCH($C280,'Entrada de Dados'!$A$6:$A$196,0))</f>
        <v/>
      </c>
      <c r="I280" s="260">
        <f>INDEX('Entrada de Dados'!F$6:F$196,MATCH($C280,'Entrada de Dados'!$A$6:$A$196,0))</f>
        <v/>
      </c>
      <c r="J280" s="260">
        <f>INDEX('Entrada de Dados'!G$6:G$196,MATCH($C280,'Entrada de Dados'!$A$6:$A$196,0))</f>
        <v/>
      </c>
      <c r="K280" s="260">
        <f>INDEX('Entrada de Dados'!H$6:H$196,MATCH($C280,'Entrada de Dados'!$A$6:$A$196,0))</f>
        <v/>
      </c>
      <c r="L280" s="260">
        <f>INDEX('Entrada de Dados'!I$6:I$196,MATCH($C280,'Entrada de Dados'!$A$6:$A$196,0))</f>
        <v/>
      </c>
      <c r="M280" s="260">
        <f>INDEX('Entrada de Dados'!J$6:J$196,MATCH($C280,'Entrada de Dados'!$A$6:$A$196,0))</f>
        <v/>
      </c>
      <c r="N280" s="260">
        <f>INDEX('Entrada de Dados'!K$6:K$196,MATCH($C280,'Entrada de Dados'!$A$6:$A$196,0))</f>
        <v/>
      </c>
      <c r="O280" s="260">
        <f>INDEX('Entrada de Dados'!L$6:L$196,MATCH($C280,'Entrada de Dados'!$A$6:$A$196,0))</f>
        <v/>
      </c>
      <c r="P280" s="260">
        <f>INDEX('Entrada de Dados'!M$6:M$196,MATCH($C280,'Entrada de Dados'!$A$6:$A$196,0))</f>
        <v/>
      </c>
      <c r="Q280" s="260">
        <f>INDEX('Entrada de Dados'!N$6:N$196,MATCH($C280,'Entrada de Dados'!$A$6:$A$196,0))</f>
        <v/>
      </c>
      <c r="R280" s="260">
        <f>INDEX('Entrada de Dados'!O$6:O$196,MATCH($C280,'Entrada de Dados'!$A$6:$A$196,0))</f>
        <v/>
      </c>
      <c r="S280" s="260">
        <f>INDEX('Entrada de Dados'!P$6:P$196,MATCH($C280,'Entrada de Dados'!$A$6:$A$196,0))</f>
        <v/>
      </c>
      <c r="T280" s="260">
        <f>INDEX('Entrada de Dados'!Q$6:Q$196,MATCH($C280,'Entrada de Dados'!$A$6:$A$196,0))</f>
        <v/>
      </c>
      <c r="U280" s="260">
        <f>INDEX('Entrada de Dados'!R$6:R$196,MATCH($C280,'Entrada de Dados'!$A$6:$A$196,0))</f>
        <v/>
      </c>
      <c r="V280" s="260">
        <f>INDEX('Entrada de Dados'!S$6:S$196,MATCH($C280,'Entrada de Dados'!$A$6:$A$196,0))</f>
        <v/>
      </c>
      <c r="W280" s="260">
        <f>INDEX('Entrada de Dados'!T$6:T$196,MATCH($C280,'Entrada de Dados'!$A$6:$A$196,0))</f>
        <v/>
      </c>
      <c r="X280" s="260">
        <f>INDEX('Entrada de Dados'!U$6:U$196,MATCH($C280,'Entrada de Dados'!$A$6:$A$196,0))</f>
        <v/>
      </c>
    </row>
    <row r="281" ht="15" customHeight="1" s="163">
      <c r="A281" s="258" t="n">
        <v>9</v>
      </c>
      <c r="B281" s="258" t="n"/>
      <c r="C281" s="258" t="inlineStr">
        <is>
          <t>3036</t>
        </is>
      </c>
      <c r="D281" s="259">
        <f>HYPERLINK("#'CEI TIA ALICE'!A1","CEI TIA ALICE")</f>
        <v/>
      </c>
      <c r="E281" s="259" t="inlineStr">
        <is>
          <t>ALTO DA SERRA</t>
        </is>
      </c>
      <c r="F281" s="260">
        <f>INDEX('Entrada de Dados'!C$6:C$196,MATCH($C281,'Entrada de Dados'!$A$6:$A$196,0))</f>
        <v/>
      </c>
      <c r="G281" s="260">
        <f>INDEX('Entrada de Dados'!D$6:D$196,MATCH($C281,'Entrada de Dados'!$A$6:$A$196,0))</f>
        <v/>
      </c>
      <c r="H281" s="260">
        <f>INDEX('Entrada de Dados'!E$6:E$196,MATCH($C281,'Entrada de Dados'!$A$6:$A$196,0))</f>
        <v/>
      </c>
      <c r="I281" s="260">
        <f>INDEX('Entrada de Dados'!F$6:F$196,MATCH($C281,'Entrada de Dados'!$A$6:$A$196,0))</f>
        <v/>
      </c>
      <c r="J281" s="260">
        <f>INDEX('Entrada de Dados'!G$6:G$196,MATCH($C281,'Entrada de Dados'!$A$6:$A$196,0))</f>
        <v/>
      </c>
      <c r="K281" s="260">
        <f>INDEX('Entrada de Dados'!H$6:H$196,MATCH($C281,'Entrada de Dados'!$A$6:$A$196,0))</f>
        <v/>
      </c>
      <c r="L281" s="260">
        <f>INDEX('Entrada de Dados'!I$6:I$196,MATCH($C281,'Entrada de Dados'!$A$6:$A$196,0))</f>
        <v/>
      </c>
      <c r="M281" s="260">
        <f>INDEX('Entrada de Dados'!J$6:J$196,MATCH($C281,'Entrada de Dados'!$A$6:$A$196,0))</f>
        <v/>
      </c>
      <c r="N281" s="260">
        <f>INDEX('Entrada de Dados'!K$6:K$196,MATCH($C281,'Entrada de Dados'!$A$6:$A$196,0))</f>
        <v/>
      </c>
      <c r="O281" s="260">
        <f>INDEX('Entrada de Dados'!L$6:L$196,MATCH($C281,'Entrada de Dados'!$A$6:$A$196,0))</f>
        <v/>
      </c>
      <c r="P281" s="260">
        <f>INDEX('Entrada de Dados'!M$6:M$196,MATCH($C281,'Entrada de Dados'!$A$6:$A$196,0))</f>
        <v/>
      </c>
      <c r="Q281" s="260">
        <f>INDEX('Entrada de Dados'!N$6:N$196,MATCH($C281,'Entrada de Dados'!$A$6:$A$196,0))</f>
        <v/>
      </c>
      <c r="R281" s="260">
        <f>INDEX('Entrada de Dados'!O$6:O$196,MATCH($C281,'Entrada de Dados'!$A$6:$A$196,0))</f>
        <v/>
      </c>
      <c r="S281" s="260">
        <f>INDEX('Entrada de Dados'!P$6:P$196,MATCH($C281,'Entrada de Dados'!$A$6:$A$196,0))</f>
        <v/>
      </c>
      <c r="T281" s="260">
        <f>INDEX('Entrada de Dados'!Q$6:Q$196,MATCH($C281,'Entrada de Dados'!$A$6:$A$196,0))</f>
        <v/>
      </c>
      <c r="U281" s="260">
        <f>INDEX('Entrada de Dados'!R$6:R$196,MATCH($C281,'Entrada de Dados'!$A$6:$A$196,0))</f>
        <v/>
      </c>
      <c r="V281" s="260">
        <f>INDEX('Entrada de Dados'!S$6:S$196,MATCH($C281,'Entrada de Dados'!$A$6:$A$196,0))</f>
        <v/>
      </c>
      <c r="W281" s="260">
        <f>INDEX('Entrada de Dados'!T$6:T$196,MATCH($C281,'Entrada de Dados'!$A$6:$A$196,0))</f>
        <v/>
      </c>
      <c r="X281" s="260">
        <f>INDEX('Entrada de Dados'!U$6:U$196,MATCH($C281,'Entrada de Dados'!$A$6:$A$196,0))</f>
        <v/>
      </c>
    </row>
    <row r="282" ht="15" customHeight="1" s="163">
      <c r="A282" s="258" t="n">
        <v>10</v>
      </c>
      <c r="B282" s="258" t="n"/>
      <c r="C282" s="258" t="inlineStr">
        <is>
          <t>2009</t>
        </is>
      </c>
      <c r="D282" s="259">
        <f>HYPERLINK("#'ESCOLA DAS COMUNIDADES SANTO AN'!A1","ESCOLA DAS COMUNIDADES SANTO ANTÔNIO")</f>
        <v/>
      </c>
      <c r="E282" s="259" t="inlineStr">
        <is>
          <t>ALTO DA SERRA</t>
        </is>
      </c>
      <c r="F282" s="260">
        <f>INDEX('Entrada de Dados'!C$6:C$196,MATCH($C282,'Entrada de Dados'!$A$6:$A$196,0))</f>
        <v/>
      </c>
      <c r="G282" s="260">
        <f>INDEX('Entrada de Dados'!D$6:D$196,MATCH($C282,'Entrada de Dados'!$A$6:$A$196,0))</f>
        <v/>
      </c>
      <c r="H282" s="260">
        <f>INDEX('Entrada de Dados'!E$6:E$196,MATCH($C282,'Entrada de Dados'!$A$6:$A$196,0))</f>
        <v/>
      </c>
      <c r="I282" s="260">
        <f>INDEX('Entrada de Dados'!F$6:F$196,MATCH($C282,'Entrada de Dados'!$A$6:$A$196,0))</f>
        <v/>
      </c>
      <c r="J282" s="260">
        <f>INDEX('Entrada de Dados'!G$6:G$196,MATCH($C282,'Entrada de Dados'!$A$6:$A$196,0))</f>
        <v/>
      </c>
      <c r="K282" s="260">
        <f>INDEX('Entrada de Dados'!H$6:H$196,MATCH($C282,'Entrada de Dados'!$A$6:$A$196,0))</f>
        <v/>
      </c>
      <c r="L282" s="260">
        <f>INDEX('Entrada de Dados'!I$6:I$196,MATCH($C282,'Entrada de Dados'!$A$6:$A$196,0))</f>
        <v/>
      </c>
      <c r="M282" s="260">
        <f>INDEX('Entrada de Dados'!J$6:J$196,MATCH($C282,'Entrada de Dados'!$A$6:$A$196,0))</f>
        <v/>
      </c>
      <c r="N282" s="260">
        <f>INDEX('Entrada de Dados'!K$6:K$196,MATCH($C282,'Entrada de Dados'!$A$6:$A$196,0))</f>
        <v/>
      </c>
      <c r="O282" s="260">
        <f>INDEX('Entrada de Dados'!L$6:L$196,MATCH($C282,'Entrada de Dados'!$A$6:$A$196,0))</f>
        <v/>
      </c>
      <c r="P282" s="260">
        <f>INDEX('Entrada de Dados'!M$6:M$196,MATCH($C282,'Entrada de Dados'!$A$6:$A$196,0))</f>
        <v/>
      </c>
      <c r="Q282" s="260">
        <f>INDEX('Entrada de Dados'!N$6:N$196,MATCH($C282,'Entrada de Dados'!$A$6:$A$196,0))</f>
        <v/>
      </c>
      <c r="R282" s="260">
        <f>INDEX('Entrada de Dados'!O$6:O$196,MATCH($C282,'Entrada de Dados'!$A$6:$A$196,0))</f>
        <v/>
      </c>
      <c r="S282" s="260">
        <f>INDEX('Entrada de Dados'!P$6:P$196,MATCH($C282,'Entrada de Dados'!$A$6:$A$196,0))</f>
        <v/>
      </c>
      <c r="T282" s="260">
        <f>INDEX('Entrada de Dados'!Q$6:Q$196,MATCH($C282,'Entrada de Dados'!$A$6:$A$196,0))</f>
        <v/>
      </c>
      <c r="U282" s="260">
        <f>INDEX('Entrada de Dados'!R$6:R$196,MATCH($C282,'Entrada de Dados'!$A$6:$A$196,0))</f>
        <v/>
      </c>
      <c r="V282" s="260">
        <f>INDEX('Entrada de Dados'!S$6:S$196,MATCH($C282,'Entrada de Dados'!$A$6:$A$196,0))</f>
        <v/>
      </c>
      <c r="W282" s="260">
        <f>INDEX('Entrada de Dados'!T$6:T$196,MATCH($C282,'Entrada de Dados'!$A$6:$A$196,0))</f>
        <v/>
      </c>
      <c r="X282" s="260">
        <f>INDEX('Entrada de Dados'!U$6:U$196,MATCH($C282,'Entrada de Dados'!$A$6:$A$196,0))</f>
        <v/>
      </c>
    </row>
    <row r="283" ht="15" customHeight="1" s="163">
      <c r="A283" s="258" t="n">
        <v>11</v>
      </c>
      <c r="B283" s="258" t="n"/>
      <c r="C283" s="258" t="inlineStr">
        <is>
          <t>1088</t>
        </is>
      </c>
      <c r="D283" s="259">
        <f>HYPERLINK("#'E M PEDRO AMADO'!A1","E M PEDRO AMADO")</f>
        <v/>
      </c>
      <c r="E283" s="259" t="inlineStr">
        <is>
          <t>MEIO DA SERRA</t>
        </is>
      </c>
      <c r="F283" s="260">
        <f>INDEX('Entrada de Dados'!C$6:C$196,MATCH($C283,'Entrada de Dados'!$A$6:$A$196,0))</f>
        <v/>
      </c>
      <c r="G283" s="260">
        <f>INDEX('Entrada de Dados'!D$6:D$196,MATCH($C283,'Entrada de Dados'!$A$6:$A$196,0))</f>
        <v/>
      </c>
      <c r="H283" s="260">
        <f>INDEX('Entrada de Dados'!E$6:E$196,MATCH($C283,'Entrada de Dados'!$A$6:$A$196,0))</f>
        <v/>
      </c>
      <c r="I283" s="260">
        <f>INDEX('Entrada de Dados'!F$6:F$196,MATCH($C283,'Entrada de Dados'!$A$6:$A$196,0))</f>
        <v/>
      </c>
      <c r="J283" s="260">
        <f>INDEX('Entrada de Dados'!G$6:G$196,MATCH($C283,'Entrada de Dados'!$A$6:$A$196,0))</f>
        <v/>
      </c>
      <c r="K283" s="260">
        <f>INDEX('Entrada de Dados'!H$6:H$196,MATCH($C283,'Entrada de Dados'!$A$6:$A$196,0))</f>
        <v/>
      </c>
      <c r="L283" s="260">
        <f>INDEX('Entrada de Dados'!I$6:I$196,MATCH($C283,'Entrada de Dados'!$A$6:$A$196,0))</f>
        <v/>
      </c>
      <c r="M283" s="260">
        <f>INDEX('Entrada de Dados'!J$6:J$196,MATCH($C283,'Entrada de Dados'!$A$6:$A$196,0))</f>
        <v/>
      </c>
      <c r="N283" s="260">
        <f>INDEX('Entrada de Dados'!K$6:K$196,MATCH($C283,'Entrada de Dados'!$A$6:$A$196,0))</f>
        <v/>
      </c>
      <c r="O283" s="260">
        <f>INDEX('Entrada de Dados'!L$6:L$196,MATCH($C283,'Entrada de Dados'!$A$6:$A$196,0))</f>
        <v/>
      </c>
      <c r="P283" s="260">
        <f>INDEX('Entrada de Dados'!M$6:M$196,MATCH($C283,'Entrada de Dados'!$A$6:$A$196,0))</f>
        <v/>
      </c>
      <c r="Q283" s="260">
        <f>INDEX('Entrada de Dados'!N$6:N$196,MATCH($C283,'Entrada de Dados'!$A$6:$A$196,0))</f>
        <v/>
      </c>
      <c r="R283" s="260">
        <f>INDEX('Entrada de Dados'!O$6:O$196,MATCH($C283,'Entrada de Dados'!$A$6:$A$196,0))</f>
        <v/>
      </c>
      <c r="S283" s="260">
        <f>INDEX('Entrada de Dados'!P$6:P$196,MATCH($C283,'Entrada de Dados'!$A$6:$A$196,0))</f>
        <v/>
      </c>
      <c r="T283" s="260">
        <f>INDEX('Entrada de Dados'!Q$6:Q$196,MATCH($C283,'Entrada de Dados'!$A$6:$A$196,0))</f>
        <v/>
      </c>
      <c r="U283" s="260">
        <f>INDEX('Entrada de Dados'!R$6:R$196,MATCH($C283,'Entrada de Dados'!$A$6:$A$196,0))</f>
        <v/>
      </c>
      <c r="V283" s="260">
        <f>INDEX('Entrada de Dados'!S$6:S$196,MATCH($C283,'Entrada de Dados'!$A$6:$A$196,0))</f>
        <v/>
      </c>
      <c r="W283" s="260">
        <f>INDEX('Entrada de Dados'!T$6:T$196,MATCH($C283,'Entrada de Dados'!$A$6:$A$196,0))</f>
        <v/>
      </c>
      <c r="X283" s="260">
        <f>INDEX('Entrada de Dados'!U$6:U$196,MATCH($C283,'Entrada de Dados'!$A$6:$A$196,0))</f>
        <v/>
      </c>
    </row>
    <row r="284" ht="15" customHeight="1" s="163">
      <c r="A284" s="258" t="n">
        <v>12</v>
      </c>
      <c r="B284" s="258" t="n"/>
      <c r="C284" s="258" t="inlineStr">
        <is>
          <t>1094</t>
        </is>
      </c>
      <c r="D284" s="259">
        <f>HYPERLINK("#'ESCOLA MUNICIPAL PAULO SALDANHA'!A1","ESCOLA MUNICIPAL PAULO SALDANHA")</f>
        <v/>
      </c>
      <c r="E284" s="259" t="inlineStr">
        <is>
          <t>ESTRADA DA SAUDADE</t>
        </is>
      </c>
      <c r="F284" s="260">
        <f>INDEX('Entrada de Dados'!C$6:C$196,MATCH($C284,'Entrada de Dados'!$A$6:$A$196,0))</f>
        <v/>
      </c>
      <c r="G284" s="260">
        <f>INDEX('Entrada de Dados'!D$6:D$196,MATCH($C284,'Entrada de Dados'!$A$6:$A$196,0))</f>
        <v/>
      </c>
      <c r="H284" s="260">
        <f>INDEX('Entrada de Dados'!E$6:E$196,MATCH($C284,'Entrada de Dados'!$A$6:$A$196,0))</f>
        <v/>
      </c>
      <c r="I284" s="260">
        <f>INDEX('Entrada de Dados'!F$6:F$196,MATCH($C284,'Entrada de Dados'!$A$6:$A$196,0))</f>
        <v/>
      </c>
      <c r="J284" s="260">
        <f>INDEX('Entrada de Dados'!G$6:G$196,MATCH($C284,'Entrada de Dados'!$A$6:$A$196,0))</f>
        <v/>
      </c>
      <c r="K284" s="260">
        <f>INDEX('Entrada de Dados'!H$6:H$196,MATCH($C284,'Entrada de Dados'!$A$6:$A$196,0))</f>
        <v/>
      </c>
      <c r="L284" s="260">
        <f>INDEX('Entrada de Dados'!I$6:I$196,MATCH($C284,'Entrada de Dados'!$A$6:$A$196,0))</f>
        <v/>
      </c>
      <c r="M284" s="260">
        <f>INDEX('Entrada de Dados'!J$6:J$196,MATCH($C284,'Entrada de Dados'!$A$6:$A$196,0))</f>
        <v/>
      </c>
      <c r="N284" s="260">
        <f>INDEX('Entrada de Dados'!K$6:K$196,MATCH($C284,'Entrada de Dados'!$A$6:$A$196,0))</f>
        <v/>
      </c>
      <c r="O284" s="260">
        <f>INDEX('Entrada de Dados'!L$6:L$196,MATCH($C284,'Entrada de Dados'!$A$6:$A$196,0))</f>
        <v/>
      </c>
      <c r="P284" s="260">
        <f>INDEX('Entrada de Dados'!M$6:M$196,MATCH($C284,'Entrada de Dados'!$A$6:$A$196,0))</f>
        <v/>
      </c>
      <c r="Q284" s="260">
        <f>INDEX('Entrada de Dados'!N$6:N$196,MATCH($C284,'Entrada de Dados'!$A$6:$A$196,0))</f>
        <v/>
      </c>
      <c r="R284" s="260">
        <f>INDEX('Entrada de Dados'!O$6:O$196,MATCH($C284,'Entrada de Dados'!$A$6:$A$196,0))</f>
        <v/>
      </c>
      <c r="S284" s="260">
        <f>INDEX('Entrada de Dados'!P$6:P$196,MATCH($C284,'Entrada de Dados'!$A$6:$A$196,0))</f>
        <v/>
      </c>
      <c r="T284" s="260">
        <f>INDEX('Entrada de Dados'!Q$6:Q$196,MATCH($C284,'Entrada de Dados'!$A$6:$A$196,0))</f>
        <v/>
      </c>
      <c r="U284" s="260">
        <f>INDEX('Entrada de Dados'!R$6:R$196,MATCH($C284,'Entrada de Dados'!$A$6:$A$196,0))</f>
        <v/>
      </c>
      <c r="V284" s="260">
        <f>INDEX('Entrada de Dados'!S$6:S$196,MATCH($C284,'Entrada de Dados'!$A$6:$A$196,0))</f>
        <v/>
      </c>
      <c r="W284" s="260">
        <f>INDEX('Entrada de Dados'!T$6:T$196,MATCH($C284,'Entrada de Dados'!$A$6:$A$196,0))</f>
        <v/>
      </c>
      <c r="X284" s="260">
        <f>INDEX('Entrada de Dados'!U$6:U$196,MATCH($C284,'Entrada de Dados'!$A$6:$A$196,0))</f>
        <v/>
      </c>
    </row>
    <row r="285" ht="15" customHeight="1" s="163">
      <c r="A285" s="258" t="n">
        <v>13</v>
      </c>
      <c r="B285" s="258" t="n"/>
      <c r="C285" s="258" t="inlineStr">
        <is>
          <t>1018</t>
        </is>
      </c>
      <c r="D285" s="259">
        <f>HYPERLINK("#'E M PROF JOAQUIM DEISTER'!A1","E M PROF JOAQUIM DEISTER")</f>
        <v/>
      </c>
      <c r="E285" s="259" t="inlineStr">
        <is>
          <t>FLORESTA</t>
        </is>
      </c>
      <c r="F285" s="260">
        <f>INDEX('Entrada de Dados'!C$6:C$196,MATCH($C285,'Entrada de Dados'!$A$6:$A$196,0))</f>
        <v/>
      </c>
      <c r="G285" s="260">
        <f>INDEX('Entrada de Dados'!D$6:D$196,MATCH($C285,'Entrada de Dados'!$A$6:$A$196,0))</f>
        <v/>
      </c>
      <c r="H285" s="260">
        <f>INDEX('Entrada de Dados'!E$6:E$196,MATCH($C285,'Entrada de Dados'!$A$6:$A$196,0))</f>
        <v/>
      </c>
      <c r="I285" s="260">
        <f>INDEX('Entrada de Dados'!F$6:F$196,MATCH($C285,'Entrada de Dados'!$A$6:$A$196,0))</f>
        <v/>
      </c>
      <c r="J285" s="260">
        <f>INDEX('Entrada de Dados'!G$6:G$196,MATCH($C285,'Entrada de Dados'!$A$6:$A$196,0))</f>
        <v/>
      </c>
      <c r="K285" s="260">
        <f>INDEX('Entrada de Dados'!H$6:H$196,MATCH($C285,'Entrada de Dados'!$A$6:$A$196,0))</f>
        <v/>
      </c>
      <c r="L285" s="260">
        <f>INDEX('Entrada de Dados'!I$6:I$196,MATCH($C285,'Entrada de Dados'!$A$6:$A$196,0))</f>
        <v/>
      </c>
      <c r="M285" s="260">
        <f>INDEX('Entrada de Dados'!J$6:J$196,MATCH($C285,'Entrada de Dados'!$A$6:$A$196,0))</f>
        <v/>
      </c>
      <c r="N285" s="260">
        <f>INDEX('Entrada de Dados'!K$6:K$196,MATCH($C285,'Entrada de Dados'!$A$6:$A$196,0))</f>
        <v/>
      </c>
      <c r="O285" s="260">
        <f>INDEX('Entrada de Dados'!L$6:L$196,MATCH($C285,'Entrada de Dados'!$A$6:$A$196,0))</f>
        <v/>
      </c>
      <c r="P285" s="260">
        <f>INDEX('Entrada de Dados'!M$6:M$196,MATCH($C285,'Entrada de Dados'!$A$6:$A$196,0))</f>
        <v/>
      </c>
      <c r="Q285" s="260">
        <f>INDEX('Entrada de Dados'!N$6:N$196,MATCH($C285,'Entrada de Dados'!$A$6:$A$196,0))</f>
        <v/>
      </c>
      <c r="R285" s="260">
        <f>INDEX('Entrada de Dados'!O$6:O$196,MATCH($C285,'Entrada de Dados'!$A$6:$A$196,0))</f>
        <v/>
      </c>
      <c r="S285" s="260">
        <f>INDEX('Entrada de Dados'!P$6:P$196,MATCH($C285,'Entrada de Dados'!$A$6:$A$196,0))</f>
        <v/>
      </c>
      <c r="T285" s="260">
        <f>INDEX('Entrada de Dados'!Q$6:Q$196,MATCH($C285,'Entrada de Dados'!$A$6:$A$196,0))</f>
        <v/>
      </c>
      <c r="U285" s="260">
        <f>INDEX('Entrada de Dados'!R$6:R$196,MATCH($C285,'Entrada de Dados'!$A$6:$A$196,0))</f>
        <v/>
      </c>
      <c r="V285" s="260">
        <f>INDEX('Entrada de Dados'!S$6:S$196,MATCH($C285,'Entrada de Dados'!$A$6:$A$196,0))</f>
        <v/>
      </c>
      <c r="W285" s="260">
        <f>INDEX('Entrada de Dados'!T$6:T$196,MATCH($C285,'Entrada de Dados'!$A$6:$A$196,0))</f>
        <v/>
      </c>
      <c r="X285" s="260">
        <f>INDEX('Entrada de Dados'!U$6:U$196,MATCH($C285,'Entrada de Dados'!$A$6:$A$196,0))</f>
        <v/>
      </c>
    </row>
    <row r="286" ht="21.75" customHeight="1" s="163">
      <c r="A286" s="265" t="inlineStr">
        <is>
          <t>Peso previsto:</t>
        </is>
      </c>
      <c r="C286" s="266">
        <f>SUM(F272:F285)+SUM(G272:G285)+SUM(H272:H285)+SUM(I272:I285)+SUM(J272:J285)+SUM(K272:K285)+SUM(L272:L285)+SUM(M272:M285)+SUM(N272:N285)+SUM(O272:O285)+SUM(P272:P285)+SUM(Q272:Q285)+SUM(R272:R285)+SUM(S272:S285)+SUM(T272:T285)+SUM(U272:U285)+SUM(W272:W285)+SUM(X272:X285)</f>
        <v/>
      </c>
      <c r="D286" s="265" t="inlineStr">
        <is>
          <t>Peso embarcado (kg):</t>
        </is>
      </c>
      <c r="F286" s="267" t="n"/>
      <c r="G286" s="265" t="inlineStr">
        <is>
          <t>Veículo:</t>
        </is>
      </c>
      <c r="I286" s="267" t="n"/>
      <c r="J286" s="268" t="n"/>
      <c r="K286" s="265" t="inlineStr">
        <is>
          <t>Motorista:</t>
        </is>
      </c>
      <c r="M286" s="267" t="n"/>
      <c r="N286" s="269" t="n"/>
      <c r="O286" s="269" t="n"/>
      <c r="P286" s="269" t="n"/>
      <c r="Q286" s="269" t="n"/>
      <c r="R286" s="269" t="n"/>
      <c r="S286" s="269" t="n"/>
      <c r="T286" s="269" t="n"/>
      <c r="U286" s="269" t="n"/>
      <c r="V286" s="269" t="n"/>
      <c r="W286" s="269" t="n"/>
      <c r="X286" s="268" t="n"/>
    </row>
  </sheetData>
  <sheetProtection selectLockedCells="0" selectUnlockedCells="0" sheet="1" objects="0" insertRows="1" insertHyperlinks="1" autoFilter="1" scenarios="0" formatColumns="0" deleteColumns="1" insertColumns="1" pivotTables="1" deleteRows="1" formatCells="0" formatRows="0" sort="1"/>
  <mergeCells count="147">
    <mergeCell ref="G21:H21"/>
    <mergeCell ref="I89:J89"/>
    <mergeCell ref="K177:L177"/>
    <mergeCell ref="K33:L33"/>
    <mergeCell ref="K89:L89"/>
    <mergeCell ref="G71:H71"/>
    <mergeCell ref="A205:X205"/>
    <mergeCell ref="A120:X120"/>
    <mergeCell ref="M21:X21"/>
    <mergeCell ref="A54:B54"/>
    <mergeCell ref="M235:X235"/>
    <mergeCell ref="G267:H267"/>
    <mergeCell ref="I203:J203"/>
    <mergeCell ref="K203:L203"/>
    <mergeCell ref="A286:B286"/>
    <mergeCell ref="M154:X154"/>
    <mergeCell ref="A5:X5"/>
    <mergeCell ref="I71:J71"/>
    <mergeCell ref="G220:H220"/>
    <mergeCell ref="A154:B154"/>
    <mergeCell ref="A267:B267"/>
    <mergeCell ref="A106:X106"/>
    <mergeCell ref="K267:L267"/>
    <mergeCell ref="A33:B33"/>
    <mergeCell ref="M165:X165"/>
    <mergeCell ref="D235:E235"/>
    <mergeCell ref="D71:E71"/>
    <mergeCell ref="M220:X220"/>
    <mergeCell ref="I250:J250"/>
    <mergeCell ref="K250:L250"/>
    <mergeCell ref="D177:E177"/>
    <mergeCell ref="A24:X24"/>
    <mergeCell ref="D33:E33"/>
    <mergeCell ref="A73:X73"/>
    <mergeCell ref="G165:H165"/>
    <mergeCell ref="K118:L118"/>
    <mergeCell ref="A237:X237"/>
    <mergeCell ref="K235:L235"/>
    <mergeCell ref="A7:X7"/>
    <mergeCell ref="I133:J133"/>
    <mergeCell ref="A142:B142"/>
    <mergeCell ref="K133:L133"/>
    <mergeCell ref="D203:E203"/>
    <mergeCell ref="A252:X252"/>
    <mergeCell ref="A103:B103"/>
    <mergeCell ref="K142:L142"/>
    <mergeCell ref="D267:E267"/>
    <mergeCell ref="K21:L21"/>
    <mergeCell ref="A158:X158"/>
    <mergeCell ref="A223:X223"/>
    <mergeCell ref="A238:X238"/>
    <mergeCell ref="M286:X286"/>
    <mergeCell ref="I54:J54"/>
    <mergeCell ref="A2:X2"/>
    <mergeCell ref="M89:X89"/>
    <mergeCell ref="A177:B177"/>
    <mergeCell ref="A89:B89"/>
    <mergeCell ref="A135:X135"/>
    <mergeCell ref="A206:X206"/>
    <mergeCell ref="A144:X144"/>
    <mergeCell ref="G177:H177"/>
    <mergeCell ref="A71:B71"/>
    <mergeCell ref="G33:H33"/>
    <mergeCell ref="I177:J177"/>
    <mergeCell ref="D103:E103"/>
    <mergeCell ref="I33:J33"/>
    <mergeCell ref="A121:X121"/>
    <mergeCell ref="A203:B203"/>
    <mergeCell ref="M71:X71"/>
    <mergeCell ref="K220:L220"/>
    <mergeCell ref="D165:E165"/>
    <mergeCell ref="G250:H250"/>
    <mergeCell ref="D118:E118"/>
    <mergeCell ref="G154:H154"/>
    <mergeCell ref="A167:X167"/>
    <mergeCell ref="A165:B165"/>
    <mergeCell ref="M177:X177"/>
    <mergeCell ref="D142:E142"/>
    <mergeCell ref="G203:H203"/>
    <mergeCell ref="D89:E89"/>
    <mergeCell ref="M250:X250"/>
    <mergeCell ref="I267:J267"/>
    <mergeCell ref="K54:L54"/>
    <mergeCell ref="A74:X74"/>
    <mergeCell ref="A56:X56"/>
    <mergeCell ref="A145:X145"/>
    <mergeCell ref="M133:X133"/>
    <mergeCell ref="G103:H103"/>
    <mergeCell ref="A133:B133"/>
    <mergeCell ref="I103:J103"/>
    <mergeCell ref="A269:X269"/>
    <mergeCell ref="G118:H118"/>
    <mergeCell ref="I165:J165"/>
    <mergeCell ref="I21:J21"/>
    <mergeCell ref="A21:B21"/>
    <mergeCell ref="A253:X253"/>
    <mergeCell ref="A35:X35"/>
    <mergeCell ref="A180:X180"/>
    <mergeCell ref="G133:H133"/>
    <mergeCell ref="A235:B235"/>
    <mergeCell ref="M103:X103"/>
    <mergeCell ref="G142:H142"/>
    <mergeCell ref="I142:J142"/>
    <mergeCell ref="K71:L71"/>
    <mergeCell ref="G89:H89"/>
    <mergeCell ref="D220:E220"/>
    <mergeCell ref="M118:X118"/>
    <mergeCell ref="A92:X92"/>
    <mergeCell ref="G54:H54"/>
    <mergeCell ref="D133:E133"/>
    <mergeCell ref="D54:E54"/>
    <mergeCell ref="G286:H286"/>
    <mergeCell ref="A168:X168"/>
    <mergeCell ref="A220:B220"/>
    <mergeCell ref="M54:X54"/>
    <mergeCell ref="M203:X203"/>
    <mergeCell ref="I154:J154"/>
    <mergeCell ref="A250:B250"/>
    <mergeCell ref="K154:L154"/>
    <mergeCell ref="I286:J286"/>
    <mergeCell ref="D21:E21"/>
    <mergeCell ref="K286:L286"/>
    <mergeCell ref="A136:X136"/>
    <mergeCell ref="M267:X267"/>
    <mergeCell ref="A105:X105"/>
    <mergeCell ref="A57:X57"/>
    <mergeCell ref="A179:X179"/>
    <mergeCell ref="K165:L165"/>
    <mergeCell ref="M33:X33"/>
    <mergeCell ref="A118:B118"/>
    <mergeCell ref="A23:X23"/>
    <mergeCell ref="D154:E154"/>
    <mergeCell ref="I220:J220"/>
    <mergeCell ref="A91:X91"/>
    <mergeCell ref="A156:X156"/>
    <mergeCell ref="G235:H235"/>
    <mergeCell ref="I235:J235"/>
    <mergeCell ref="I118:J118"/>
    <mergeCell ref="A157:X157"/>
    <mergeCell ref="K103:L103"/>
    <mergeCell ref="A270:X270"/>
    <mergeCell ref="A222:X222"/>
    <mergeCell ref="M142:X142"/>
    <mergeCell ref="D250:E250"/>
    <mergeCell ref="A36:X36"/>
    <mergeCell ref="A6:X6"/>
    <mergeCell ref="D286:E286"/>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rowBreaks count="17" manualBreakCount="17">
    <brk id="22" min="0" max="16383" man="1"/>
    <brk id="34" min="0" max="16383" man="1"/>
    <brk id="55" min="0" max="16383" man="1"/>
    <brk id="72" min="0" max="16383" man="1"/>
    <brk id="90" min="0" max="16383" man="1"/>
    <brk id="104" min="0" max="16383" man="1"/>
    <brk id="119" min="0" max="16383" man="1"/>
    <brk id="134" min="0" max="16383" man="1"/>
    <brk id="143" min="0" max="16383" man="1"/>
    <brk id="156" min="0" max="16383" man="1"/>
    <brk id="166" min="0" max="16383" man="1"/>
    <brk id="178" min="0" max="16383" man="1"/>
    <brk id="204" min="0" max="16383" man="1"/>
    <brk id="221" min="0" max="16383" man="1"/>
    <brk id="236" min="0" max="16383" man="1"/>
    <brk id="251" min="0" max="16383" man="1"/>
    <brk id="268" min="0" max="16383" man="1"/>
  </rowBreaks>
</worksheet>
</file>

<file path=xl/worksheets/sheet8.xml><?xml version="1.0" encoding="utf-8"?>
<worksheet xmlns="http://schemas.openxmlformats.org/spreadsheetml/2006/main">
  <sheetPr filterMode="0">
    <outlinePr summaryBelow="1" summaryRight="1"/>
    <pageSetUpPr fitToPage="1"/>
  </sheetPr>
  <dimension ref="A1:N12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62" min="1" max="1"/>
    <col width="8.5" customWidth="1" style="162" min="2" max="13"/>
    <col width="13" customWidth="1" style="162" min="14" max="14"/>
  </cols>
  <sheetData>
    <row r="1" ht="25.5" customHeight="1" s="163">
      <c r="A1" s="164" t="inlineStr">
        <is>
          <t>MAPA DE PRODUÇÃO — QUEM PRODUZ O QUÊ, POR MÊS</t>
        </is>
      </c>
    </row>
    <row r="2" ht="15" customHeight="1" s="163">
      <c r="A2" s="223" t="inlineStr">
        <is>
          <t>Referência do plano anual de cada produtor (Projeto de Venda PNAE). Use isto para decidir como dividir o pedido da prefeitura entre os produtores de cada item.</t>
        </is>
      </c>
    </row>
    <row r="3" ht="15" customHeight="1" s="163">
      <c r="D3" s="204">
        <f>HYPERLINK("#'ÍNDICE'!A1","◄ Voltar ao Índice")</f>
        <v/>
      </c>
    </row>
    <row r="5" ht="19.5" customHeight="1" s="163">
      <c r="A5" s="186" t="inlineStr">
        <is>
          <t>ABACATE</t>
        </is>
      </c>
    </row>
    <row r="6" ht="19.5" customHeight="1" s="163">
      <c r="A6" s="270" t="inlineStr">
        <is>
          <t>Produtor</t>
        </is>
      </c>
      <c r="B6" s="270" t="inlineStr">
        <is>
          <t>Out/26</t>
        </is>
      </c>
      <c r="C6" s="270" t="inlineStr">
        <is>
          <t>Nov/26</t>
        </is>
      </c>
      <c r="D6" s="270" t="inlineStr">
        <is>
          <t>Dez/26</t>
        </is>
      </c>
      <c r="E6" s="270" t="inlineStr">
        <is>
          <t>Jan/27</t>
        </is>
      </c>
      <c r="F6" s="270" t="inlineStr">
        <is>
          <t>Fev/27</t>
        </is>
      </c>
      <c r="G6" s="270" t="inlineStr">
        <is>
          <t>Mar/27</t>
        </is>
      </c>
      <c r="H6" s="270" t="inlineStr">
        <is>
          <t>Abr/27</t>
        </is>
      </c>
      <c r="I6" s="270" t="inlineStr">
        <is>
          <t>Mai/27</t>
        </is>
      </c>
      <c r="J6" s="270" t="inlineStr">
        <is>
          <t>Jun/27</t>
        </is>
      </c>
      <c r="K6" s="270" t="inlineStr">
        <is>
          <t>Jul/27</t>
        </is>
      </c>
      <c r="L6" s="270" t="inlineStr">
        <is>
          <t>Ago/27</t>
        </is>
      </c>
      <c r="M6" s="270" t="inlineStr">
        <is>
          <t>Set/27</t>
        </is>
      </c>
      <c r="N6" s="270" t="inlineStr">
        <is>
          <t>Total Ano (kg)</t>
        </is>
      </c>
    </row>
    <row r="7" ht="15" customHeight="1" s="163">
      <c r="A7" s="271" t="inlineStr">
        <is>
          <t>Joaquim Sergio Lage</t>
        </is>
      </c>
      <c r="B7" s="272" t="n">
        <v>0</v>
      </c>
      <c r="C7" s="272" t="n">
        <v>0</v>
      </c>
      <c r="D7" s="272" t="n">
        <v>0</v>
      </c>
      <c r="E7" s="272" t="n">
        <v>0</v>
      </c>
      <c r="F7" s="272" t="n">
        <v>0</v>
      </c>
      <c r="G7" s="272" t="n">
        <v>0</v>
      </c>
      <c r="H7" s="272" t="n">
        <v>0</v>
      </c>
      <c r="I7" s="272" t="n">
        <v>856</v>
      </c>
      <c r="J7" s="272" t="n">
        <v>856</v>
      </c>
      <c r="K7" s="272" t="n">
        <v>856</v>
      </c>
      <c r="L7" s="272" t="n">
        <v>0</v>
      </c>
      <c r="M7" s="272" t="n">
        <v>0</v>
      </c>
      <c r="N7" s="273" t="n">
        <v>2568</v>
      </c>
    </row>
    <row r="8" ht="15" customHeight="1" s="163">
      <c r="A8" s="271" t="inlineStr">
        <is>
          <t>Renato José da Silva</t>
        </is>
      </c>
      <c r="B8" s="272" t="n">
        <v>0</v>
      </c>
      <c r="C8" s="272" t="n">
        <v>0</v>
      </c>
      <c r="D8" s="272" t="n">
        <v>0</v>
      </c>
      <c r="E8" s="272" t="n">
        <v>0</v>
      </c>
      <c r="F8" s="272" t="n">
        <v>0</v>
      </c>
      <c r="G8" s="272" t="n">
        <v>0</v>
      </c>
      <c r="H8" s="272" t="n">
        <v>0</v>
      </c>
      <c r="I8" s="272" t="n">
        <v>0</v>
      </c>
      <c r="J8" s="272" t="n">
        <v>250</v>
      </c>
      <c r="K8" s="272" t="n">
        <v>250</v>
      </c>
      <c r="L8" s="272" t="n">
        <v>0</v>
      </c>
      <c r="M8" s="272" t="n">
        <v>0</v>
      </c>
      <c r="N8" s="273" t="n">
        <v>500</v>
      </c>
    </row>
    <row r="9" ht="15" customHeight="1" s="163">
      <c r="A9" s="271" t="inlineStr">
        <is>
          <t>Arnaldo da Silva</t>
        </is>
      </c>
      <c r="B9" s="272" t="n">
        <v>300</v>
      </c>
      <c r="C9" s="272" t="n">
        <v>0</v>
      </c>
      <c r="D9" s="272" t="n">
        <v>0</v>
      </c>
      <c r="E9" s="272" t="n">
        <v>0</v>
      </c>
      <c r="F9" s="272" t="n">
        <v>0</v>
      </c>
      <c r="G9" s="272" t="n">
        <v>0</v>
      </c>
      <c r="H9" s="272" t="n">
        <v>0</v>
      </c>
      <c r="I9" s="272" t="n">
        <v>300</v>
      </c>
      <c r="J9" s="272" t="n">
        <v>340</v>
      </c>
      <c r="K9" s="272" t="n">
        <v>350</v>
      </c>
      <c r="L9" s="272" t="n">
        <v>0</v>
      </c>
      <c r="M9" s="272" t="n">
        <v>0</v>
      </c>
      <c r="N9" s="273" t="n">
        <v>1290</v>
      </c>
    </row>
    <row r="11" ht="19.5" customHeight="1" s="163">
      <c r="A11" s="186" t="inlineStr">
        <is>
          <t>ABOBRINHA</t>
        </is>
      </c>
    </row>
    <row r="12" ht="19.5" customHeight="1" s="163">
      <c r="A12" s="270" t="inlineStr">
        <is>
          <t>Produtor</t>
        </is>
      </c>
      <c r="B12" s="270" t="inlineStr">
        <is>
          <t>Out/26</t>
        </is>
      </c>
      <c r="C12" s="270" t="inlineStr">
        <is>
          <t>Nov/26</t>
        </is>
      </c>
      <c r="D12" s="270" t="inlineStr">
        <is>
          <t>Dez/26</t>
        </is>
      </c>
      <c r="E12" s="270" t="inlineStr">
        <is>
          <t>Jan/27</t>
        </is>
      </c>
      <c r="F12" s="270" t="inlineStr">
        <is>
          <t>Fev/27</t>
        </is>
      </c>
      <c r="G12" s="270" t="inlineStr">
        <is>
          <t>Mar/27</t>
        </is>
      </c>
      <c r="H12" s="270" t="inlineStr">
        <is>
          <t>Abr/27</t>
        </is>
      </c>
      <c r="I12" s="270" t="inlineStr">
        <is>
          <t>Mai/27</t>
        </is>
      </c>
      <c r="J12" s="270" t="inlineStr">
        <is>
          <t>Jun/27</t>
        </is>
      </c>
      <c r="K12" s="270" t="inlineStr">
        <is>
          <t>Jul/27</t>
        </is>
      </c>
      <c r="L12" s="270" t="inlineStr">
        <is>
          <t>Ago/27</t>
        </is>
      </c>
      <c r="M12" s="270" t="inlineStr">
        <is>
          <t>Set/27</t>
        </is>
      </c>
      <c r="N12" s="270" t="inlineStr">
        <is>
          <t>Total Ano (kg)</t>
        </is>
      </c>
    </row>
    <row r="13" ht="15" customHeight="1" s="163">
      <c r="A13" s="271" t="inlineStr">
        <is>
          <t>Lucio Mauro Felix da Silva</t>
        </is>
      </c>
      <c r="B13" s="272" t="n">
        <v>200</v>
      </c>
      <c r="C13" s="272" t="n">
        <v>200</v>
      </c>
      <c r="D13" s="272" t="n">
        <v>130</v>
      </c>
      <c r="E13" s="272" t="n">
        <v>0</v>
      </c>
      <c r="F13" s="272" t="n">
        <v>0</v>
      </c>
      <c r="G13" s="272" t="n">
        <v>200</v>
      </c>
      <c r="H13" s="272" t="n">
        <v>200</v>
      </c>
      <c r="I13" s="272" t="n">
        <v>200</v>
      </c>
      <c r="J13" s="272" t="n">
        <v>200</v>
      </c>
      <c r="K13" s="272" t="n">
        <v>200</v>
      </c>
      <c r="L13" s="272" t="n">
        <v>200</v>
      </c>
      <c r="M13" s="272" t="n">
        <v>200</v>
      </c>
      <c r="N13" s="273" t="n">
        <v>1930</v>
      </c>
    </row>
    <row r="15" ht="19.5" customHeight="1" s="163">
      <c r="A15" s="186" t="inlineStr">
        <is>
          <t>AGRIÃO</t>
        </is>
      </c>
    </row>
    <row r="16" ht="19.5" customHeight="1" s="163">
      <c r="A16" s="270" t="inlineStr">
        <is>
          <t>Produtor</t>
        </is>
      </c>
      <c r="B16" s="270" t="inlineStr">
        <is>
          <t>Out/26</t>
        </is>
      </c>
      <c r="C16" s="270" t="inlineStr">
        <is>
          <t>Nov/26</t>
        </is>
      </c>
      <c r="D16" s="270" t="inlineStr">
        <is>
          <t>Dez/26</t>
        </is>
      </c>
      <c r="E16" s="270" t="inlineStr">
        <is>
          <t>Jan/27</t>
        </is>
      </c>
      <c r="F16" s="270" t="inlineStr">
        <is>
          <t>Fev/27</t>
        </is>
      </c>
      <c r="G16" s="270" t="inlineStr">
        <is>
          <t>Mar/27</t>
        </is>
      </c>
      <c r="H16" s="270" t="inlineStr">
        <is>
          <t>Abr/27</t>
        </is>
      </c>
      <c r="I16" s="270" t="inlineStr">
        <is>
          <t>Mai/27</t>
        </is>
      </c>
      <c r="J16" s="270" t="inlineStr">
        <is>
          <t>Jun/27</t>
        </is>
      </c>
      <c r="K16" s="270" t="inlineStr">
        <is>
          <t>Jul/27</t>
        </is>
      </c>
      <c r="L16" s="270" t="inlineStr">
        <is>
          <t>Ago/27</t>
        </is>
      </c>
      <c r="M16" s="270" t="inlineStr">
        <is>
          <t>Set/27</t>
        </is>
      </c>
      <c r="N16" s="270" t="inlineStr">
        <is>
          <t>Total Ano (kg)</t>
        </is>
      </c>
    </row>
    <row r="17" ht="15" customHeight="1" s="163">
      <c r="A17" s="271" t="inlineStr">
        <is>
          <t>Gabriel Adriano de Souza</t>
        </is>
      </c>
      <c r="B17" s="272" t="n">
        <v>40</v>
      </c>
      <c r="C17" s="272" t="n">
        <v>40</v>
      </c>
      <c r="D17" s="272" t="n">
        <v>0</v>
      </c>
      <c r="E17" s="272" t="n">
        <v>0</v>
      </c>
      <c r="F17" s="272" t="n">
        <v>0</v>
      </c>
      <c r="G17" s="272" t="n">
        <v>0</v>
      </c>
      <c r="H17" s="272" t="n">
        <v>0</v>
      </c>
      <c r="I17" s="272" t="n">
        <v>0</v>
      </c>
      <c r="J17" s="272" t="n">
        <v>0</v>
      </c>
      <c r="K17" s="272" t="n">
        <v>0</v>
      </c>
      <c r="L17" s="272" t="n">
        <v>0</v>
      </c>
      <c r="M17" s="272" t="n">
        <v>0</v>
      </c>
      <c r="N17" s="273" t="n">
        <v>80</v>
      </c>
    </row>
    <row r="19" ht="19.5" customHeight="1" s="163">
      <c r="A19" s="186" t="inlineStr">
        <is>
          <t>ALFACE LISA</t>
        </is>
      </c>
    </row>
    <row r="20" ht="19.5" customHeight="1" s="163">
      <c r="A20" s="270" t="inlineStr">
        <is>
          <t>Produtor</t>
        </is>
      </c>
      <c r="B20" s="270" t="inlineStr">
        <is>
          <t>Out/26</t>
        </is>
      </c>
      <c r="C20" s="270" t="inlineStr">
        <is>
          <t>Nov/26</t>
        </is>
      </c>
      <c r="D20" s="270" t="inlineStr">
        <is>
          <t>Dez/26</t>
        </is>
      </c>
      <c r="E20" s="270" t="inlineStr">
        <is>
          <t>Jan/27</t>
        </is>
      </c>
      <c r="F20" s="270" t="inlineStr">
        <is>
          <t>Fev/27</t>
        </is>
      </c>
      <c r="G20" s="270" t="inlineStr">
        <is>
          <t>Mar/27</t>
        </is>
      </c>
      <c r="H20" s="270" t="inlineStr">
        <is>
          <t>Abr/27</t>
        </is>
      </c>
      <c r="I20" s="270" t="inlineStr">
        <is>
          <t>Mai/27</t>
        </is>
      </c>
      <c r="J20" s="270" t="inlineStr">
        <is>
          <t>Jun/27</t>
        </is>
      </c>
      <c r="K20" s="270" t="inlineStr">
        <is>
          <t>Jul/27</t>
        </is>
      </c>
      <c r="L20" s="270" t="inlineStr">
        <is>
          <t>Ago/27</t>
        </is>
      </c>
      <c r="M20" s="270" t="inlineStr">
        <is>
          <t>Set/27</t>
        </is>
      </c>
      <c r="N20" s="270" t="inlineStr">
        <is>
          <t>Total Ano (kg)</t>
        </is>
      </c>
    </row>
    <row r="21" ht="15" customHeight="1" s="163">
      <c r="A21" s="271" t="inlineStr">
        <is>
          <t>Ana Claudia Correas Ruas</t>
        </is>
      </c>
      <c r="B21" s="272" t="n">
        <v>150</v>
      </c>
      <c r="C21" s="272" t="n">
        <v>150</v>
      </c>
      <c r="D21" s="272" t="n">
        <v>100</v>
      </c>
      <c r="E21" s="272" t="n">
        <v>0</v>
      </c>
      <c r="F21" s="272" t="n">
        <v>0</v>
      </c>
      <c r="G21" s="272" t="n">
        <v>96</v>
      </c>
      <c r="H21" s="272" t="n">
        <v>96</v>
      </c>
      <c r="I21" s="272" t="n">
        <v>96</v>
      </c>
      <c r="J21" s="272" t="n">
        <v>96</v>
      </c>
      <c r="K21" s="272" t="n">
        <v>96</v>
      </c>
      <c r="L21" s="272" t="n">
        <v>96</v>
      </c>
      <c r="M21" s="272" t="n">
        <v>93</v>
      </c>
      <c r="N21" s="273" t="n">
        <v>1069</v>
      </c>
    </row>
    <row r="22" ht="15" customHeight="1" s="163">
      <c r="A22" s="271" t="inlineStr">
        <is>
          <t>Marcio Azevedo de Souza</t>
        </is>
      </c>
      <c r="B22" s="272" t="n">
        <v>350</v>
      </c>
      <c r="C22" s="272" t="n">
        <v>350</v>
      </c>
      <c r="D22" s="272" t="n">
        <v>200</v>
      </c>
      <c r="E22" s="272" t="n">
        <v>0</v>
      </c>
      <c r="F22" s="272" t="n">
        <v>0</v>
      </c>
      <c r="G22" s="272" t="n">
        <v>0</v>
      </c>
      <c r="H22" s="272" t="n">
        <v>0</v>
      </c>
      <c r="I22" s="272" t="n">
        <v>150</v>
      </c>
      <c r="J22" s="272" t="n">
        <v>100</v>
      </c>
      <c r="K22" s="272" t="n">
        <v>150</v>
      </c>
      <c r="L22" s="272" t="n">
        <v>350</v>
      </c>
      <c r="M22" s="272" t="n">
        <v>350</v>
      </c>
      <c r="N22" s="273" t="n">
        <v>2000</v>
      </c>
    </row>
    <row r="23" ht="15" customHeight="1" s="163">
      <c r="A23" s="271" t="inlineStr">
        <is>
          <t>Rodolfo Azevedo de Andrade</t>
        </is>
      </c>
      <c r="B23" s="272" t="n">
        <v>0</v>
      </c>
      <c r="C23" s="272" t="n">
        <v>0</v>
      </c>
      <c r="D23" s="272" t="n">
        <v>0</v>
      </c>
      <c r="E23" s="272" t="n">
        <v>0</v>
      </c>
      <c r="F23" s="272" t="n">
        <v>0</v>
      </c>
      <c r="G23" s="272" t="n">
        <v>75</v>
      </c>
      <c r="H23" s="272" t="n">
        <v>75</v>
      </c>
      <c r="I23" s="272" t="n">
        <v>75</v>
      </c>
      <c r="J23" s="272" t="n">
        <v>75</v>
      </c>
      <c r="K23" s="272" t="n">
        <v>75</v>
      </c>
      <c r="L23" s="272" t="n">
        <v>75</v>
      </c>
      <c r="M23" s="272" t="n">
        <v>75</v>
      </c>
      <c r="N23" s="273" t="n">
        <v>525</v>
      </c>
    </row>
    <row r="24" ht="15" customHeight="1" s="163">
      <c r="A24" s="271" t="inlineStr">
        <is>
          <t>Jorge Gabriel Pereira Diniz</t>
        </is>
      </c>
      <c r="B24" s="272" t="n">
        <v>150</v>
      </c>
      <c r="C24" s="272" t="n">
        <v>100</v>
      </c>
      <c r="D24" s="272" t="n">
        <v>100</v>
      </c>
      <c r="E24" s="272" t="n">
        <v>0</v>
      </c>
      <c r="F24" s="272" t="n">
        <v>0</v>
      </c>
      <c r="G24" s="272" t="n">
        <v>50</v>
      </c>
      <c r="H24" s="272" t="n">
        <v>50</v>
      </c>
      <c r="I24" s="272" t="n">
        <v>50</v>
      </c>
      <c r="J24" s="272" t="n">
        <v>50</v>
      </c>
      <c r="K24" s="272" t="n">
        <v>0</v>
      </c>
      <c r="L24" s="272" t="n">
        <v>150</v>
      </c>
      <c r="M24" s="272" t="n">
        <v>150</v>
      </c>
      <c r="N24" s="273" t="n">
        <v>850</v>
      </c>
    </row>
    <row r="25" ht="15" customHeight="1" s="163">
      <c r="A25" s="271" t="inlineStr">
        <is>
          <t>Gabriel Adriano de Souza</t>
        </is>
      </c>
      <c r="B25" s="272" t="n">
        <v>200</v>
      </c>
      <c r="C25" s="272" t="n">
        <v>200</v>
      </c>
      <c r="D25" s="272" t="n">
        <v>0</v>
      </c>
      <c r="E25" s="272" t="n">
        <v>0</v>
      </c>
      <c r="F25" s="272" t="n">
        <v>0</v>
      </c>
      <c r="G25" s="272" t="n">
        <v>0</v>
      </c>
      <c r="H25" s="272" t="n">
        <v>0</v>
      </c>
      <c r="I25" s="272" t="n">
        <v>0</v>
      </c>
      <c r="J25" s="272" t="n">
        <v>0</v>
      </c>
      <c r="K25" s="272" t="n">
        <v>0</v>
      </c>
      <c r="L25" s="272" t="n">
        <v>0</v>
      </c>
      <c r="M25" s="272" t="n">
        <v>0</v>
      </c>
      <c r="N25" s="273" t="n">
        <v>400</v>
      </c>
    </row>
    <row r="26" ht="15" customHeight="1" s="163">
      <c r="A26" s="271" t="inlineStr">
        <is>
          <t>Marcelo Marcos Delgado</t>
        </is>
      </c>
      <c r="B26" s="272" t="n">
        <v>75</v>
      </c>
      <c r="C26" s="272" t="n">
        <v>75</v>
      </c>
      <c r="D26" s="272" t="n">
        <v>0</v>
      </c>
      <c r="E26" s="272" t="n">
        <v>0</v>
      </c>
      <c r="F26" s="272" t="n">
        <v>0</v>
      </c>
      <c r="G26" s="272" t="n">
        <v>75</v>
      </c>
      <c r="H26" s="272" t="n">
        <v>75</v>
      </c>
      <c r="I26" s="272" t="n">
        <v>75</v>
      </c>
      <c r="J26" s="272" t="n">
        <v>75</v>
      </c>
      <c r="K26" s="272" t="n">
        <v>75</v>
      </c>
      <c r="L26" s="272" t="n">
        <v>75</v>
      </c>
      <c r="M26" s="272" t="n">
        <v>75</v>
      </c>
      <c r="N26" s="273" t="n">
        <v>675</v>
      </c>
    </row>
    <row r="27" ht="15" customHeight="1" s="163">
      <c r="A27" s="271" t="inlineStr">
        <is>
          <t>Marcos Marcelo Delgado</t>
        </is>
      </c>
      <c r="B27" s="272" t="n">
        <v>75</v>
      </c>
      <c r="C27" s="272" t="n">
        <v>75</v>
      </c>
      <c r="D27" s="272" t="n">
        <v>0</v>
      </c>
      <c r="E27" s="272" t="n">
        <v>0</v>
      </c>
      <c r="F27" s="272" t="n">
        <v>0</v>
      </c>
      <c r="G27" s="272" t="n">
        <v>75</v>
      </c>
      <c r="H27" s="272" t="n">
        <v>75</v>
      </c>
      <c r="I27" s="272" t="n">
        <v>75</v>
      </c>
      <c r="J27" s="272" t="n">
        <v>75</v>
      </c>
      <c r="K27" s="272" t="n">
        <v>75</v>
      </c>
      <c r="L27" s="272" t="n">
        <v>75</v>
      </c>
      <c r="M27" s="272" t="n">
        <v>75</v>
      </c>
      <c r="N27" s="273" t="n">
        <v>675</v>
      </c>
    </row>
    <row r="28" ht="15" customHeight="1" s="163">
      <c r="A28" s="271" t="inlineStr">
        <is>
          <t>Luiz Ailton de Oliveira Pinto</t>
        </is>
      </c>
      <c r="B28" s="272" t="n">
        <v>150</v>
      </c>
      <c r="C28" s="272" t="n">
        <v>200</v>
      </c>
      <c r="D28" s="272" t="n">
        <v>0</v>
      </c>
      <c r="E28" s="272" t="n">
        <v>0</v>
      </c>
      <c r="F28" s="272" t="n">
        <v>0</v>
      </c>
      <c r="G28" s="272" t="n">
        <v>0</v>
      </c>
      <c r="H28" s="272" t="n">
        <v>100</v>
      </c>
      <c r="I28" s="272" t="n">
        <v>200</v>
      </c>
      <c r="J28" s="272" t="n">
        <v>200</v>
      </c>
      <c r="K28" s="272" t="n">
        <v>0</v>
      </c>
      <c r="L28" s="272" t="n">
        <v>0</v>
      </c>
      <c r="M28" s="272" t="n">
        <v>0</v>
      </c>
      <c r="N28" s="273" t="n">
        <v>850</v>
      </c>
    </row>
    <row r="29" ht="15" customHeight="1" s="163">
      <c r="A29" s="271" t="inlineStr">
        <is>
          <t>Renato José da Silva</t>
        </is>
      </c>
      <c r="B29" s="272" t="n">
        <v>0</v>
      </c>
      <c r="C29" s="272" t="n">
        <v>0</v>
      </c>
      <c r="D29" s="272" t="n">
        <v>0</v>
      </c>
      <c r="E29" s="272" t="n">
        <v>0</v>
      </c>
      <c r="F29" s="272" t="n">
        <v>0</v>
      </c>
      <c r="G29" s="272" t="n">
        <v>0</v>
      </c>
      <c r="H29" s="272" t="n">
        <v>0</v>
      </c>
      <c r="I29" s="272" t="n">
        <v>150</v>
      </c>
      <c r="J29" s="272" t="n">
        <v>150</v>
      </c>
      <c r="K29" s="272" t="n">
        <v>150</v>
      </c>
      <c r="L29" s="272" t="n">
        <v>0</v>
      </c>
      <c r="M29" s="272" t="n">
        <v>0</v>
      </c>
      <c r="N29" s="273" t="n">
        <v>450</v>
      </c>
    </row>
    <row r="30" ht="15" customHeight="1" s="163">
      <c r="A30" s="271" t="inlineStr">
        <is>
          <t>Nilson Ferreira da Silva</t>
        </is>
      </c>
      <c r="B30" s="272" t="n">
        <v>0</v>
      </c>
      <c r="C30" s="272" t="n">
        <v>0</v>
      </c>
      <c r="D30" s="272" t="n">
        <v>0</v>
      </c>
      <c r="E30" s="272" t="n">
        <v>0</v>
      </c>
      <c r="F30" s="272" t="n">
        <v>0</v>
      </c>
      <c r="G30" s="272" t="n">
        <v>200</v>
      </c>
      <c r="H30" s="272" t="n">
        <v>200</v>
      </c>
      <c r="I30" s="272" t="n">
        <v>200</v>
      </c>
      <c r="J30" s="272" t="n">
        <v>200</v>
      </c>
      <c r="K30" s="272" t="n">
        <v>0</v>
      </c>
      <c r="L30" s="272" t="n">
        <v>0</v>
      </c>
      <c r="M30" s="272" t="n">
        <v>0</v>
      </c>
      <c r="N30" s="273" t="n">
        <v>800</v>
      </c>
    </row>
    <row r="32" ht="19.5" customHeight="1" s="163">
      <c r="A32" s="186" t="inlineStr">
        <is>
          <t>BANANA PRATA</t>
        </is>
      </c>
    </row>
    <row r="33" ht="15" customHeight="1" s="163">
      <c r="A33" s="274" t="inlineStr">
        <is>
          <t>⚠ Nenhum produtor cadastrado para este produto no plano anual.</t>
        </is>
      </c>
    </row>
    <row r="35" ht="19.5" customHeight="1" s="163">
      <c r="A35" s="186" t="inlineStr">
        <is>
          <t>BATATA INGLESA</t>
        </is>
      </c>
    </row>
    <row r="36" ht="19.5" customHeight="1" s="163">
      <c r="A36" s="270" t="inlineStr">
        <is>
          <t>Produtor</t>
        </is>
      </c>
      <c r="B36" s="270" t="inlineStr">
        <is>
          <t>Out/26</t>
        </is>
      </c>
      <c r="C36" s="270" t="inlineStr">
        <is>
          <t>Nov/26</t>
        </is>
      </c>
      <c r="D36" s="270" t="inlineStr">
        <is>
          <t>Dez/26</t>
        </is>
      </c>
      <c r="E36" s="270" t="inlineStr">
        <is>
          <t>Jan/27</t>
        </is>
      </c>
      <c r="F36" s="270" t="inlineStr">
        <is>
          <t>Fev/27</t>
        </is>
      </c>
      <c r="G36" s="270" t="inlineStr">
        <is>
          <t>Mar/27</t>
        </is>
      </c>
      <c r="H36" s="270" t="inlineStr">
        <is>
          <t>Abr/27</t>
        </is>
      </c>
      <c r="I36" s="270" t="inlineStr">
        <is>
          <t>Mai/27</t>
        </is>
      </c>
      <c r="J36" s="270" t="inlineStr">
        <is>
          <t>Jun/27</t>
        </is>
      </c>
      <c r="K36" s="270" t="inlineStr">
        <is>
          <t>Jul/27</t>
        </is>
      </c>
      <c r="L36" s="270" t="inlineStr">
        <is>
          <t>Ago/27</t>
        </is>
      </c>
      <c r="M36" s="270" t="inlineStr">
        <is>
          <t>Set/27</t>
        </is>
      </c>
      <c r="N36" s="270" t="inlineStr">
        <is>
          <t>Total Ano (kg)</t>
        </is>
      </c>
    </row>
    <row r="37" ht="15" customHeight="1" s="163">
      <c r="A37" s="271" t="inlineStr">
        <is>
          <t>Claudeni Rodrigues Xavier</t>
        </is>
      </c>
      <c r="B37" s="272" t="n">
        <v>0</v>
      </c>
      <c r="C37" s="272" t="n">
        <v>0</v>
      </c>
      <c r="D37" s="272" t="n">
        <v>0</v>
      </c>
      <c r="E37" s="272" t="n">
        <v>0</v>
      </c>
      <c r="F37" s="272" t="n">
        <v>0</v>
      </c>
      <c r="G37" s="272" t="n">
        <v>0</v>
      </c>
      <c r="H37" s="272" t="n">
        <v>0</v>
      </c>
      <c r="I37" s="272" t="n">
        <v>0</v>
      </c>
      <c r="J37" s="272" t="n">
        <v>0</v>
      </c>
      <c r="K37" s="272" t="n">
        <v>500</v>
      </c>
      <c r="L37" s="272" t="n">
        <v>500</v>
      </c>
      <c r="M37" s="272" t="n">
        <v>0</v>
      </c>
      <c r="N37" s="273" t="n">
        <v>1000</v>
      </c>
    </row>
    <row r="39" ht="19.5" customHeight="1" s="163">
      <c r="A39" s="186" t="inlineStr">
        <is>
          <t>BETERRABA</t>
        </is>
      </c>
    </row>
    <row r="40" ht="19.5" customHeight="1" s="163">
      <c r="A40" s="270" t="inlineStr">
        <is>
          <t>Produtor</t>
        </is>
      </c>
      <c r="B40" s="270" t="inlineStr">
        <is>
          <t>Out/26</t>
        </is>
      </c>
      <c r="C40" s="270" t="inlineStr">
        <is>
          <t>Nov/26</t>
        </is>
      </c>
      <c r="D40" s="270" t="inlineStr">
        <is>
          <t>Dez/26</t>
        </is>
      </c>
      <c r="E40" s="270" t="inlineStr">
        <is>
          <t>Jan/27</t>
        </is>
      </c>
      <c r="F40" s="270" t="inlineStr">
        <is>
          <t>Fev/27</t>
        </is>
      </c>
      <c r="G40" s="270" t="inlineStr">
        <is>
          <t>Mar/27</t>
        </is>
      </c>
      <c r="H40" s="270" t="inlineStr">
        <is>
          <t>Abr/27</t>
        </is>
      </c>
      <c r="I40" s="270" t="inlineStr">
        <is>
          <t>Mai/27</t>
        </is>
      </c>
      <c r="J40" s="270" t="inlineStr">
        <is>
          <t>Jun/27</t>
        </is>
      </c>
      <c r="K40" s="270" t="inlineStr">
        <is>
          <t>Jul/27</t>
        </is>
      </c>
      <c r="L40" s="270" t="inlineStr">
        <is>
          <t>Ago/27</t>
        </is>
      </c>
      <c r="M40" s="270" t="inlineStr">
        <is>
          <t>Set/27</t>
        </is>
      </c>
      <c r="N40" s="270" t="inlineStr">
        <is>
          <t>Total Ano (kg)</t>
        </is>
      </c>
    </row>
    <row r="41" ht="15" customHeight="1" s="163">
      <c r="A41" s="271" t="inlineStr">
        <is>
          <t>Luiz Ailton de Oliveira Pinto</t>
        </is>
      </c>
      <c r="B41" s="272" t="n">
        <v>400</v>
      </c>
      <c r="C41" s="272" t="n">
        <v>340</v>
      </c>
      <c r="D41" s="272" t="n">
        <v>0</v>
      </c>
      <c r="E41" s="272" t="n">
        <v>0</v>
      </c>
      <c r="F41" s="272" t="n">
        <v>0</v>
      </c>
      <c r="G41" s="272" t="n">
        <v>0</v>
      </c>
      <c r="H41" s="272" t="n">
        <v>50</v>
      </c>
      <c r="I41" s="272" t="n">
        <v>50</v>
      </c>
      <c r="J41" s="272" t="n">
        <v>50</v>
      </c>
      <c r="K41" s="272" t="n">
        <v>50</v>
      </c>
      <c r="L41" s="272" t="n">
        <v>0</v>
      </c>
      <c r="M41" s="272" t="n">
        <v>0</v>
      </c>
      <c r="N41" s="273" t="n">
        <v>940</v>
      </c>
    </row>
    <row r="42" ht="15" customHeight="1" s="163">
      <c r="A42" s="271" t="inlineStr">
        <is>
          <t>Claudeni Rodrigues Xavier</t>
        </is>
      </c>
      <c r="B42" s="272" t="n">
        <v>0</v>
      </c>
      <c r="C42" s="272" t="n">
        <v>0</v>
      </c>
      <c r="D42" s="272" t="n">
        <v>0</v>
      </c>
      <c r="E42" s="272" t="n">
        <v>0</v>
      </c>
      <c r="F42" s="272" t="n">
        <v>0</v>
      </c>
      <c r="G42" s="272" t="n">
        <v>0</v>
      </c>
      <c r="H42" s="272" t="n">
        <v>0</v>
      </c>
      <c r="I42" s="272" t="n">
        <v>0</v>
      </c>
      <c r="J42" s="272" t="n">
        <v>0</v>
      </c>
      <c r="K42" s="272" t="n">
        <v>200</v>
      </c>
      <c r="L42" s="272" t="n">
        <v>200</v>
      </c>
      <c r="M42" s="272" t="n">
        <v>0</v>
      </c>
      <c r="N42" s="273" t="n">
        <v>400</v>
      </c>
    </row>
    <row r="43" ht="15" customHeight="1" s="163">
      <c r="A43" s="271" t="inlineStr">
        <is>
          <t>Nilson Ferreira da Silva</t>
        </is>
      </c>
      <c r="B43" s="272" t="n">
        <v>0</v>
      </c>
      <c r="C43" s="272" t="n">
        <v>0</v>
      </c>
      <c r="D43" s="272" t="n">
        <v>0</v>
      </c>
      <c r="E43" s="272" t="n">
        <v>0</v>
      </c>
      <c r="F43" s="272" t="n">
        <v>0</v>
      </c>
      <c r="G43" s="272" t="n">
        <v>0</v>
      </c>
      <c r="H43" s="272" t="n">
        <v>200</v>
      </c>
      <c r="I43" s="272" t="n">
        <v>200</v>
      </c>
      <c r="J43" s="272" t="n">
        <v>200</v>
      </c>
      <c r="K43" s="272" t="n">
        <v>200</v>
      </c>
      <c r="L43" s="272" t="n">
        <v>200</v>
      </c>
      <c r="M43" s="272" t="n">
        <v>0</v>
      </c>
      <c r="N43" s="273" t="n">
        <v>1000</v>
      </c>
    </row>
    <row r="45" ht="19.5" customHeight="1" s="163">
      <c r="A45" s="186" t="inlineStr">
        <is>
          <t>BRÓCOLIS</t>
        </is>
      </c>
    </row>
    <row r="46" ht="19.5" customHeight="1" s="163">
      <c r="A46" s="270" t="inlineStr">
        <is>
          <t>Produtor</t>
        </is>
      </c>
      <c r="B46" s="270" t="inlineStr">
        <is>
          <t>Out/26</t>
        </is>
      </c>
      <c r="C46" s="270" t="inlineStr">
        <is>
          <t>Nov/26</t>
        </is>
      </c>
      <c r="D46" s="270" t="inlineStr">
        <is>
          <t>Dez/26</t>
        </is>
      </c>
      <c r="E46" s="270" t="inlineStr">
        <is>
          <t>Jan/27</t>
        </is>
      </c>
      <c r="F46" s="270" t="inlineStr">
        <is>
          <t>Fev/27</t>
        </is>
      </c>
      <c r="G46" s="270" t="inlineStr">
        <is>
          <t>Mar/27</t>
        </is>
      </c>
      <c r="H46" s="270" t="inlineStr">
        <is>
          <t>Abr/27</t>
        </is>
      </c>
      <c r="I46" s="270" t="inlineStr">
        <is>
          <t>Mai/27</t>
        </is>
      </c>
      <c r="J46" s="270" t="inlineStr">
        <is>
          <t>Jun/27</t>
        </is>
      </c>
      <c r="K46" s="270" t="inlineStr">
        <is>
          <t>Jul/27</t>
        </is>
      </c>
      <c r="L46" s="270" t="inlineStr">
        <is>
          <t>Ago/27</t>
        </is>
      </c>
      <c r="M46" s="270" t="inlineStr">
        <is>
          <t>Set/27</t>
        </is>
      </c>
      <c r="N46" s="270" t="inlineStr">
        <is>
          <t>Total Ano (kg)</t>
        </is>
      </c>
    </row>
    <row r="47" ht="15" customHeight="1" s="163">
      <c r="A47" s="271" t="inlineStr">
        <is>
          <t>Rodolfo Azevedo de Andrade</t>
        </is>
      </c>
      <c r="B47" s="272" t="n">
        <v>0</v>
      </c>
      <c r="C47" s="272" t="n">
        <v>0</v>
      </c>
      <c r="D47" s="272" t="n">
        <v>0</v>
      </c>
      <c r="E47" s="272" t="n">
        <v>0</v>
      </c>
      <c r="F47" s="272" t="n">
        <v>0</v>
      </c>
      <c r="G47" s="272" t="n">
        <v>0</v>
      </c>
      <c r="H47" s="272" t="n">
        <v>85</v>
      </c>
      <c r="I47" s="272" t="n">
        <v>85</v>
      </c>
      <c r="J47" s="272" t="n">
        <v>85</v>
      </c>
      <c r="K47" s="272" t="n">
        <v>85</v>
      </c>
      <c r="L47" s="272" t="n">
        <v>85</v>
      </c>
      <c r="M47" s="272" t="n">
        <v>85</v>
      </c>
      <c r="N47" s="273" t="n">
        <v>510</v>
      </c>
    </row>
    <row r="48" ht="15" customHeight="1" s="163">
      <c r="A48" s="271" t="inlineStr">
        <is>
          <t>Gabriel Adriano de Souza</t>
        </is>
      </c>
      <c r="B48" s="272" t="n">
        <v>50</v>
      </c>
      <c r="C48" s="272" t="n">
        <v>50</v>
      </c>
      <c r="D48" s="272" t="n">
        <v>0</v>
      </c>
      <c r="E48" s="272" t="n">
        <v>0</v>
      </c>
      <c r="F48" s="272" t="n">
        <v>0</v>
      </c>
      <c r="G48" s="272" t="n">
        <v>0</v>
      </c>
      <c r="H48" s="272" t="n">
        <v>0</v>
      </c>
      <c r="I48" s="272" t="n">
        <v>0</v>
      </c>
      <c r="J48" s="272" t="n">
        <v>0</v>
      </c>
      <c r="K48" s="272" t="n">
        <v>0</v>
      </c>
      <c r="L48" s="272" t="n">
        <v>0</v>
      </c>
      <c r="M48" s="272" t="n">
        <v>0</v>
      </c>
      <c r="N48" s="273" t="n">
        <v>100</v>
      </c>
    </row>
    <row r="49" ht="15" customHeight="1" s="163">
      <c r="A49" s="271" t="inlineStr">
        <is>
          <t>Renato José da Silva</t>
        </is>
      </c>
      <c r="B49" s="272" t="n">
        <v>0</v>
      </c>
      <c r="C49" s="272" t="n">
        <v>0</v>
      </c>
      <c r="D49" s="272" t="n">
        <v>0</v>
      </c>
      <c r="E49" s="272" t="n">
        <v>0</v>
      </c>
      <c r="F49" s="272" t="n">
        <v>0</v>
      </c>
      <c r="G49" s="272" t="n">
        <v>0</v>
      </c>
      <c r="H49" s="272" t="n">
        <v>180</v>
      </c>
      <c r="I49" s="272" t="n">
        <v>180</v>
      </c>
      <c r="J49" s="272" t="n">
        <v>0</v>
      </c>
      <c r="K49" s="272" t="n">
        <v>0</v>
      </c>
      <c r="L49" s="272" t="n">
        <v>0</v>
      </c>
      <c r="M49" s="272" t="n">
        <v>0</v>
      </c>
      <c r="N49" s="273" t="n">
        <v>360</v>
      </c>
    </row>
    <row r="50" ht="15" customHeight="1" s="163">
      <c r="A50" s="271" t="inlineStr">
        <is>
          <t>Nilson Ferreira da Silva</t>
        </is>
      </c>
      <c r="B50" s="272" t="n">
        <v>0</v>
      </c>
      <c r="C50" s="272" t="n">
        <v>0</v>
      </c>
      <c r="D50" s="272" t="n">
        <v>0</v>
      </c>
      <c r="E50" s="272" t="n">
        <v>0</v>
      </c>
      <c r="F50" s="272" t="n">
        <v>0</v>
      </c>
      <c r="G50" s="272" t="n">
        <v>0</v>
      </c>
      <c r="H50" s="272" t="n">
        <v>150</v>
      </c>
      <c r="I50" s="272" t="n">
        <v>150</v>
      </c>
      <c r="J50" s="272" t="n">
        <v>150</v>
      </c>
      <c r="K50" s="272" t="n">
        <v>140</v>
      </c>
      <c r="L50" s="272" t="n">
        <v>100</v>
      </c>
      <c r="M50" s="272" t="n">
        <v>0</v>
      </c>
      <c r="N50" s="273" t="n">
        <v>690</v>
      </c>
    </row>
    <row r="52" ht="19.5" customHeight="1" s="163">
      <c r="A52" s="186" t="inlineStr">
        <is>
          <t>CENOURA</t>
        </is>
      </c>
    </row>
    <row r="53" ht="19.5" customHeight="1" s="163">
      <c r="A53" s="270" t="inlineStr">
        <is>
          <t>Produtor</t>
        </is>
      </c>
      <c r="B53" s="270" t="inlineStr">
        <is>
          <t>Out/26</t>
        </is>
      </c>
      <c r="C53" s="270" t="inlineStr">
        <is>
          <t>Nov/26</t>
        </is>
      </c>
      <c r="D53" s="270" t="inlineStr">
        <is>
          <t>Dez/26</t>
        </is>
      </c>
      <c r="E53" s="270" t="inlineStr">
        <is>
          <t>Jan/27</t>
        </is>
      </c>
      <c r="F53" s="270" t="inlineStr">
        <is>
          <t>Fev/27</t>
        </is>
      </c>
      <c r="G53" s="270" t="inlineStr">
        <is>
          <t>Mar/27</t>
        </is>
      </c>
      <c r="H53" s="270" t="inlineStr">
        <is>
          <t>Abr/27</t>
        </is>
      </c>
      <c r="I53" s="270" t="inlineStr">
        <is>
          <t>Mai/27</t>
        </is>
      </c>
      <c r="J53" s="270" t="inlineStr">
        <is>
          <t>Jun/27</t>
        </is>
      </c>
      <c r="K53" s="270" t="inlineStr">
        <is>
          <t>Jul/27</t>
        </is>
      </c>
      <c r="L53" s="270" t="inlineStr">
        <is>
          <t>Ago/27</t>
        </is>
      </c>
      <c r="M53" s="270" t="inlineStr">
        <is>
          <t>Set/27</t>
        </is>
      </c>
      <c r="N53" s="270" t="inlineStr">
        <is>
          <t>Total Ano (kg)</t>
        </is>
      </c>
    </row>
    <row r="54" ht="15" customHeight="1" s="163">
      <c r="A54" s="271" t="inlineStr">
        <is>
          <t>Claudeni Rodrigues Xavier</t>
        </is>
      </c>
      <c r="B54" s="272" t="n">
        <v>470</v>
      </c>
      <c r="C54" s="272" t="n">
        <v>0</v>
      </c>
      <c r="D54" s="272" t="n">
        <v>0</v>
      </c>
      <c r="E54" s="272" t="n">
        <v>0</v>
      </c>
      <c r="F54" s="272" t="n">
        <v>0</v>
      </c>
      <c r="G54" s="272" t="n">
        <v>0</v>
      </c>
      <c r="H54" s="272" t="n">
        <v>0</v>
      </c>
      <c r="I54" s="272" t="n">
        <v>0</v>
      </c>
      <c r="J54" s="272" t="n">
        <v>400</v>
      </c>
      <c r="K54" s="272" t="n">
        <v>400</v>
      </c>
      <c r="L54" s="272" t="n">
        <v>0</v>
      </c>
      <c r="M54" s="272" t="n">
        <v>0</v>
      </c>
      <c r="N54" s="273" t="n">
        <v>1270</v>
      </c>
    </row>
    <row r="56" ht="19.5" customHeight="1" s="163">
      <c r="A56" s="186" t="inlineStr">
        <is>
          <t>CHEIRO VERDE</t>
        </is>
      </c>
    </row>
    <row r="57" ht="19.5" customHeight="1" s="163">
      <c r="A57" s="270" t="inlineStr">
        <is>
          <t>Produtor</t>
        </is>
      </c>
      <c r="B57" s="270" t="inlineStr">
        <is>
          <t>Out/26</t>
        </is>
      </c>
      <c r="C57" s="270" t="inlineStr">
        <is>
          <t>Nov/26</t>
        </is>
      </c>
      <c r="D57" s="270" t="inlineStr">
        <is>
          <t>Dez/26</t>
        </is>
      </c>
      <c r="E57" s="270" t="inlineStr">
        <is>
          <t>Jan/27</t>
        </is>
      </c>
      <c r="F57" s="270" t="inlineStr">
        <is>
          <t>Fev/27</t>
        </is>
      </c>
      <c r="G57" s="270" t="inlineStr">
        <is>
          <t>Mar/27</t>
        </is>
      </c>
      <c r="H57" s="270" t="inlineStr">
        <is>
          <t>Abr/27</t>
        </is>
      </c>
      <c r="I57" s="270" t="inlineStr">
        <is>
          <t>Mai/27</t>
        </is>
      </c>
      <c r="J57" s="270" t="inlineStr">
        <is>
          <t>Jun/27</t>
        </is>
      </c>
      <c r="K57" s="270" t="inlineStr">
        <is>
          <t>Jul/27</t>
        </is>
      </c>
      <c r="L57" s="270" t="inlineStr">
        <is>
          <t>Ago/27</t>
        </is>
      </c>
      <c r="M57" s="270" t="inlineStr">
        <is>
          <t>Set/27</t>
        </is>
      </c>
      <c r="N57" s="270" t="inlineStr">
        <is>
          <t>Total Ano (kg)</t>
        </is>
      </c>
    </row>
    <row r="58" ht="15" customHeight="1" s="163">
      <c r="A58" s="271" t="inlineStr">
        <is>
          <t>Ana Claudia Correas Ruas</t>
        </is>
      </c>
      <c r="B58" s="272" t="n">
        <v>20</v>
      </c>
      <c r="C58" s="272" t="n">
        <v>20</v>
      </c>
      <c r="D58" s="272" t="n">
        <v>20</v>
      </c>
      <c r="E58" s="272" t="n">
        <v>0</v>
      </c>
      <c r="F58" s="272" t="n">
        <v>0</v>
      </c>
      <c r="G58" s="272" t="n">
        <v>20</v>
      </c>
      <c r="H58" s="272" t="n">
        <v>20</v>
      </c>
      <c r="I58" s="272" t="n">
        <v>20</v>
      </c>
      <c r="J58" s="272" t="n">
        <v>20</v>
      </c>
      <c r="K58" s="272" t="n">
        <v>20</v>
      </c>
      <c r="L58" s="272" t="n">
        <v>20</v>
      </c>
      <c r="M58" s="272" t="n">
        <v>20</v>
      </c>
      <c r="N58" s="273" t="n">
        <v>200</v>
      </c>
    </row>
    <row r="59" ht="15" customHeight="1" s="163">
      <c r="A59" s="271" t="inlineStr">
        <is>
          <t>Marcio Azevedo de Souza</t>
        </is>
      </c>
      <c r="B59" s="272" t="n">
        <v>100</v>
      </c>
      <c r="C59" s="272" t="n">
        <v>100</v>
      </c>
      <c r="D59" s="272" t="n">
        <v>0</v>
      </c>
      <c r="E59" s="272" t="n">
        <v>0</v>
      </c>
      <c r="F59" s="272" t="n">
        <v>0</v>
      </c>
      <c r="G59" s="272" t="n">
        <v>0</v>
      </c>
      <c r="H59" s="272" t="n">
        <v>0</v>
      </c>
      <c r="I59" s="272" t="n">
        <v>0</v>
      </c>
      <c r="J59" s="272" t="n">
        <v>0</v>
      </c>
      <c r="K59" s="272" t="n">
        <v>0</v>
      </c>
      <c r="L59" s="272" t="n">
        <v>0</v>
      </c>
      <c r="M59" s="272" t="n">
        <v>0</v>
      </c>
      <c r="N59" s="273" t="n">
        <v>200</v>
      </c>
    </row>
    <row r="60" ht="15" customHeight="1" s="163">
      <c r="A60" s="271" t="inlineStr">
        <is>
          <t>Rodolfo Azevedo de Andrade</t>
        </is>
      </c>
      <c r="B60" s="272" t="n">
        <v>0</v>
      </c>
      <c r="C60" s="272" t="n">
        <v>0</v>
      </c>
      <c r="D60" s="272" t="n">
        <v>0</v>
      </c>
      <c r="E60" s="272" t="n">
        <v>0</v>
      </c>
      <c r="F60" s="272" t="n">
        <v>0</v>
      </c>
      <c r="G60" s="272" t="n">
        <v>0</v>
      </c>
      <c r="H60" s="272" t="n">
        <v>0</v>
      </c>
      <c r="I60" s="272" t="n">
        <v>0</v>
      </c>
      <c r="J60" s="272" t="n">
        <v>19</v>
      </c>
      <c r="K60" s="272" t="n">
        <v>19</v>
      </c>
      <c r="L60" s="272" t="n">
        <v>19</v>
      </c>
      <c r="M60" s="272" t="n">
        <v>19</v>
      </c>
      <c r="N60" s="273" t="n">
        <v>76</v>
      </c>
    </row>
    <row r="61" ht="15" customHeight="1" s="163">
      <c r="A61" s="271" t="inlineStr">
        <is>
          <t>Gabriel Adriano de Souza</t>
        </is>
      </c>
      <c r="B61" s="272" t="n">
        <v>60</v>
      </c>
      <c r="C61" s="272" t="n">
        <v>60</v>
      </c>
      <c r="D61" s="272" t="n">
        <v>0</v>
      </c>
      <c r="E61" s="272" t="n">
        <v>0</v>
      </c>
      <c r="F61" s="272" t="n">
        <v>0</v>
      </c>
      <c r="G61" s="272" t="n">
        <v>0</v>
      </c>
      <c r="H61" s="272" t="n">
        <v>0</v>
      </c>
      <c r="I61" s="272" t="n">
        <v>0</v>
      </c>
      <c r="J61" s="272" t="n">
        <v>0</v>
      </c>
      <c r="K61" s="272" t="n">
        <v>0</v>
      </c>
      <c r="L61" s="272" t="n">
        <v>0</v>
      </c>
      <c r="M61" s="272" t="n">
        <v>0</v>
      </c>
      <c r="N61" s="273" t="n">
        <v>120</v>
      </c>
    </row>
    <row r="62" ht="15" customHeight="1" s="163">
      <c r="A62" s="271" t="inlineStr">
        <is>
          <t>Marcelo Marcos Delgado</t>
        </is>
      </c>
      <c r="B62" s="272" t="n">
        <v>22</v>
      </c>
      <c r="C62" s="272" t="n">
        <v>22</v>
      </c>
      <c r="D62" s="272" t="n">
        <v>0</v>
      </c>
      <c r="E62" s="272" t="n">
        <v>0</v>
      </c>
      <c r="F62" s="272" t="n">
        <v>0</v>
      </c>
      <c r="G62" s="272" t="n">
        <v>22</v>
      </c>
      <c r="H62" s="272" t="n">
        <v>22</v>
      </c>
      <c r="I62" s="272" t="n">
        <v>22</v>
      </c>
      <c r="J62" s="272" t="n">
        <v>22</v>
      </c>
      <c r="K62" s="272" t="n">
        <v>22</v>
      </c>
      <c r="L62" s="272" t="n">
        <v>22</v>
      </c>
      <c r="M62" s="272" t="n">
        <v>22</v>
      </c>
      <c r="N62" s="273" t="n">
        <v>198</v>
      </c>
    </row>
    <row r="63" ht="15" customHeight="1" s="163">
      <c r="A63" s="271" t="inlineStr">
        <is>
          <t>Marcos Marcelo Delgado</t>
        </is>
      </c>
      <c r="B63" s="272" t="n">
        <v>22</v>
      </c>
      <c r="C63" s="272" t="n">
        <v>22</v>
      </c>
      <c r="D63" s="272" t="n">
        <v>0</v>
      </c>
      <c r="E63" s="272" t="n">
        <v>0</v>
      </c>
      <c r="F63" s="272" t="n">
        <v>0</v>
      </c>
      <c r="G63" s="272" t="n">
        <v>22</v>
      </c>
      <c r="H63" s="272" t="n">
        <v>22</v>
      </c>
      <c r="I63" s="272" t="n">
        <v>22</v>
      </c>
      <c r="J63" s="272" t="n">
        <v>22</v>
      </c>
      <c r="K63" s="272" t="n">
        <v>22</v>
      </c>
      <c r="L63" s="272" t="n">
        <v>22</v>
      </c>
      <c r="M63" s="272" t="n">
        <v>22</v>
      </c>
      <c r="N63" s="273" t="n">
        <v>198</v>
      </c>
    </row>
    <row r="65" ht="19.5" customHeight="1" s="163">
      <c r="A65" s="186" t="inlineStr">
        <is>
          <t>CHUCHU</t>
        </is>
      </c>
    </row>
    <row r="66" ht="19.5" customHeight="1" s="163">
      <c r="A66" s="270" t="inlineStr">
        <is>
          <t>Produtor</t>
        </is>
      </c>
      <c r="B66" s="270" t="inlineStr">
        <is>
          <t>Out/26</t>
        </is>
      </c>
      <c r="C66" s="270" t="inlineStr">
        <is>
          <t>Nov/26</t>
        </is>
      </c>
      <c r="D66" s="270" t="inlineStr">
        <is>
          <t>Dez/26</t>
        </is>
      </c>
      <c r="E66" s="270" t="inlineStr">
        <is>
          <t>Jan/27</t>
        </is>
      </c>
      <c r="F66" s="270" t="inlineStr">
        <is>
          <t>Fev/27</t>
        </is>
      </c>
      <c r="G66" s="270" t="inlineStr">
        <is>
          <t>Mar/27</t>
        </is>
      </c>
      <c r="H66" s="270" t="inlineStr">
        <is>
          <t>Abr/27</t>
        </is>
      </c>
      <c r="I66" s="270" t="inlineStr">
        <is>
          <t>Mai/27</t>
        </is>
      </c>
      <c r="J66" s="270" t="inlineStr">
        <is>
          <t>Jun/27</t>
        </is>
      </c>
      <c r="K66" s="270" t="inlineStr">
        <is>
          <t>Jul/27</t>
        </is>
      </c>
      <c r="L66" s="270" t="inlineStr">
        <is>
          <t>Ago/27</t>
        </is>
      </c>
      <c r="M66" s="270" t="inlineStr">
        <is>
          <t>Set/27</t>
        </is>
      </c>
      <c r="N66" s="270" t="inlineStr">
        <is>
          <t>Total Ano (kg)</t>
        </is>
      </c>
    </row>
    <row r="67" ht="15" customHeight="1" s="163">
      <c r="A67" s="271" t="inlineStr">
        <is>
          <t>Gustavo de Mello Rodrigues</t>
        </is>
      </c>
      <c r="B67" s="272" t="n">
        <v>0</v>
      </c>
      <c r="C67" s="272" t="n">
        <v>0</v>
      </c>
      <c r="D67" s="272" t="n">
        <v>0</v>
      </c>
      <c r="E67" s="272" t="n">
        <v>0</v>
      </c>
      <c r="F67" s="272" t="n">
        <v>0</v>
      </c>
      <c r="G67" s="272" t="n">
        <v>1168</v>
      </c>
      <c r="H67" s="272" t="n">
        <v>1168</v>
      </c>
      <c r="I67" s="272" t="n">
        <v>1168</v>
      </c>
      <c r="J67" s="272" t="n">
        <v>1168</v>
      </c>
      <c r="K67" s="272" t="n">
        <v>0</v>
      </c>
      <c r="L67" s="272" t="n">
        <v>0</v>
      </c>
      <c r="M67" s="272" t="n">
        <v>0</v>
      </c>
      <c r="N67" s="273" t="n">
        <v>4672</v>
      </c>
    </row>
    <row r="68" ht="15" customHeight="1" s="163">
      <c r="A68" s="271" t="inlineStr">
        <is>
          <t>Anderson de Mello Quimas</t>
        </is>
      </c>
      <c r="B68" s="272" t="n">
        <v>0</v>
      </c>
      <c r="C68" s="272" t="n">
        <v>0</v>
      </c>
      <c r="D68" s="272" t="n">
        <v>0</v>
      </c>
      <c r="E68" s="272" t="n">
        <v>0</v>
      </c>
      <c r="F68" s="272" t="n">
        <v>0</v>
      </c>
      <c r="G68" s="272" t="n">
        <v>1168</v>
      </c>
      <c r="H68" s="272" t="n">
        <v>1168</v>
      </c>
      <c r="I68" s="272" t="n">
        <v>1168</v>
      </c>
      <c r="J68" s="272" t="n">
        <v>1168</v>
      </c>
      <c r="K68" s="272" t="n">
        <v>0</v>
      </c>
      <c r="L68" s="272" t="n">
        <v>0</v>
      </c>
      <c r="M68" s="272" t="n">
        <v>0</v>
      </c>
      <c r="N68" s="273" t="n">
        <v>4672</v>
      </c>
    </row>
    <row r="69" ht="15" customHeight="1" s="163">
      <c r="A69" s="271" t="inlineStr">
        <is>
          <t>José Gilmar Santana de Mello</t>
        </is>
      </c>
      <c r="B69" s="272" t="n">
        <v>0</v>
      </c>
      <c r="C69" s="272" t="n">
        <v>0</v>
      </c>
      <c r="D69" s="272" t="n">
        <v>0</v>
      </c>
      <c r="E69" s="272" t="n">
        <v>0</v>
      </c>
      <c r="F69" s="272" t="n">
        <v>0</v>
      </c>
      <c r="G69" s="272" t="n">
        <v>200</v>
      </c>
      <c r="H69" s="272" t="n">
        <v>205</v>
      </c>
      <c r="I69" s="272" t="n">
        <v>205</v>
      </c>
      <c r="J69" s="272" t="n">
        <v>205</v>
      </c>
      <c r="K69" s="272" t="n">
        <v>205</v>
      </c>
      <c r="L69" s="272" t="n">
        <v>0</v>
      </c>
      <c r="M69" s="272" t="n">
        <v>0</v>
      </c>
      <c r="N69" s="273" t="n">
        <v>1020</v>
      </c>
    </row>
    <row r="70" ht="15" customHeight="1" s="163">
      <c r="A70" s="271" t="inlineStr">
        <is>
          <t>José Rodrigues de Melo</t>
        </is>
      </c>
      <c r="B70" s="272" t="n">
        <v>0</v>
      </c>
      <c r="C70" s="272" t="n">
        <v>0</v>
      </c>
      <c r="D70" s="272" t="n">
        <v>0</v>
      </c>
      <c r="E70" s="272" t="n">
        <v>0</v>
      </c>
      <c r="F70" s="272" t="n">
        <v>0</v>
      </c>
      <c r="G70" s="272" t="n">
        <v>200</v>
      </c>
      <c r="H70" s="272" t="n">
        <v>205</v>
      </c>
      <c r="I70" s="272" t="n">
        <v>205</v>
      </c>
      <c r="J70" s="272" t="n">
        <v>205</v>
      </c>
      <c r="K70" s="272" t="n">
        <v>205</v>
      </c>
      <c r="L70" s="272" t="n">
        <v>0</v>
      </c>
      <c r="M70" s="272" t="n">
        <v>0</v>
      </c>
      <c r="N70" s="273" t="n">
        <v>1020</v>
      </c>
    </row>
    <row r="71" ht="15" customHeight="1" s="163">
      <c r="A71" s="271" t="inlineStr">
        <is>
          <t>Lucio Mauro Felix da Silva</t>
        </is>
      </c>
      <c r="B71" s="272" t="n">
        <v>0</v>
      </c>
      <c r="C71" s="272" t="n">
        <v>0</v>
      </c>
      <c r="D71" s="272" t="n">
        <v>0</v>
      </c>
      <c r="E71" s="272" t="n">
        <v>0</v>
      </c>
      <c r="F71" s="272" t="n">
        <v>0</v>
      </c>
      <c r="G71" s="272" t="n">
        <v>300</v>
      </c>
      <c r="H71" s="272" t="n">
        <v>300</v>
      </c>
      <c r="I71" s="272" t="n">
        <v>300</v>
      </c>
      <c r="J71" s="272" t="n">
        <v>300</v>
      </c>
      <c r="K71" s="272" t="n">
        <v>300</v>
      </c>
      <c r="L71" s="272" t="n">
        <v>0</v>
      </c>
      <c r="M71" s="272" t="n">
        <v>0</v>
      </c>
      <c r="N71" s="273" t="n">
        <v>1500</v>
      </c>
    </row>
    <row r="73" ht="19.5" customHeight="1" s="163">
      <c r="A73" s="186" t="inlineStr">
        <is>
          <t>COUVE MANTEIGA</t>
        </is>
      </c>
    </row>
    <row r="74" ht="19.5" customHeight="1" s="163">
      <c r="A74" s="270" t="inlineStr">
        <is>
          <t>Produtor</t>
        </is>
      </c>
      <c r="B74" s="270" t="inlineStr">
        <is>
          <t>Out/26</t>
        </is>
      </c>
      <c r="C74" s="270" t="inlineStr">
        <is>
          <t>Nov/26</t>
        </is>
      </c>
      <c r="D74" s="270" t="inlineStr">
        <is>
          <t>Dez/26</t>
        </is>
      </c>
      <c r="E74" s="270" t="inlineStr">
        <is>
          <t>Jan/27</t>
        </is>
      </c>
      <c r="F74" s="270" t="inlineStr">
        <is>
          <t>Fev/27</t>
        </is>
      </c>
      <c r="G74" s="270" t="inlineStr">
        <is>
          <t>Mar/27</t>
        </is>
      </c>
      <c r="H74" s="270" t="inlineStr">
        <is>
          <t>Abr/27</t>
        </is>
      </c>
      <c r="I74" s="270" t="inlineStr">
        <is>
          <t>Mai/27</t>
        </is>
      </c>
      <c r="J74" s="270" t="inlineStr">
        <is>
          <t>Jun/27</t>
        </is>
      </c>
      <c r="K74" s="270" t="inlineStr">
        <is>
          <t>Jul/27</t>
        </is>
      </c>
      <c r="L74" s="270" t="inlineStr">
        <is>
          <t>Ago/27</t>
        </is>
      </c>
      <c r="M74" s="270" t="inlineStr">
        <is>
          <t>Set/27</t>
        </is>
      </c>
      <c r="N74" s="270" t="inlineStr">
        <is>
          <t>Total Ano (kg)</t>
        </is>
      </c>
    </row>
    <row r="75" ht="15" customHeight="1" s="163">
      <c r="A75" s="271" t="inlineStr">
        <is>
          <t>Ana Claudia Correas Ruas</t>
        </is>
      </c>
      <c r="B75" s="272" t="n">
        <v>170</v>
      </c>
      <c r="C75" s="272" t="n">
        <v>170</v>
      </c>
      <c r="D75" s="272" t="n">
        <v>100</v>
      </c>
      <c r="E75" s="272" t="n">
        <v>0</v>
      </c>
      <c r="F75" s="272" t="n">
        <v>0</v>
      </c>
      <c r="G75" s="272" t="n">
        <v>96</v>
      </c>
      <c r="H75" s="272" t="n">
        <v>96</v>
      </c>
      <c r="I75" s="272" t="n">
        <v>96</v>
      </c>
      <c r="J75" s="272" t="n">
        <v>96</v>
      </c>
      <c r="K75" s="272" t="n">
        <v>96</v>
      </c>
      <c r="L75" s="272" t="n">
        <v>96</v>
      </c>
      <c r="M75" s="272" t="n">
        <v>93</v>
      </c>
      <c r="N75" s="273" t="n">
        <v>1109</v>
      </c>
    </row>
    <row r="76" ht="15" customHeight="1" s="163">
      <c r="A76" s="271" t="inlineStr">
        <is>
          <t>Marcio Azevedo de Souza</t>
        </is>
      </c>
      <c r="B76" s="272" t="n">
        <v>100</v>
      </c>
      <c r="C76" s="272" t="n">
        <v>100</v>
      </c>
      <c r="D76" s="272" t="n">
        <v>0</v>
      </c>
      <c r="E76" s="272" t="n">
        <v>0</v>
      </c>
      <c r="F76" s="272" t="n">
        <v>0</v>
      </c>
      <c r="G76" s="272" t="n">
        <v>0</v>
      </c>
      <c r="H76" s="272" t="n">
        <v>0</v>
      </c>
      <c r="I76" s="272" t="n">
        <v>0</v>
      </c>
      <c r="J76" s="272" t="n">
        <v>0</v>
      </c>
      <c r="K76" s="272" t="n">
        <v>0</v>
      </c>
      <c r="L76" s="272" t="n">
        <v>0</v>
      </c>
      <c r="M76" s="272" t="n">
        <v>0</v>
      </c>
      <c r="N76" s="273" t="n">
        <v>200</v>
      </c>
    </row>
    <row r="77" ht="15" customHeight="1" s="163">
      <c r="A77" s="271" t="inlineStr">
        <is>
          <t>Rodolfo Azevedo de Andrade</t>
        </is>
      </c>
      <c r="B77" s="272" t="n">
        <v>0</v>
      </c>
      <c r="C77" s="272" t="n">
        <v>0</v>
      </c>
      <c r="D77" s="272" t="n">
        <v>0</v>
      </c>
      <c r="E77" s="272" t="n">
        <v>0</v>
      </c>
      <c r="F77" s="272" t="n">
        <v>0</v>
      </c>
      <c r="G77" s="272" t="n">
        <v>0</v>
      </c>
      <c r="H77" s="272" t="n">
        <v>100</v>
      </c>
      <c r="I77" s="272" t="n">
        <v>100</v>
      </c>
      <c r="J77" s="272" t="n">
        <v>100</v>
      </c>
      <c r="K77" s="272" t="n">
        <v>100</v>
      </c>
      <c r="L77" s="272" t="n">
        <v>91</v>
      </c>
      <c r="M77" s="272" t="n">
        <v>91</v>
      </c>
      <c r="N77" s="273" t="n">
        <v>582</v>
      </c>
    </row>
    <row r="78" ht="15" customHeight="1" s="163">
      <c r="A78" s="271" t="inlineStr">
        <is>
          <t>Jorge Gabriel Pereira Diniz</t>
        </is>
      </c>
      <c r="B78" s="272" t="n">
        <v>200</v>
      </c>
      <c r="C78" s="272" t="n">
        <v>200</v>
      </c>
      <c r="D78" s="272" t="n">
        <v>200</v>
      </c>
      <c r="E78" s="272" t="n">
        <v>0</v>
      </c>
      <c r="F78" s="272" t="n">
        <v>0</v>
      </c>
      <c r="G78" s="272" t="n">
        <v>150</v>
      </c>
      <c r="H78" s="272" t="n">
        <v>150</v>
      </c>
      <c r="I78" s="272" t="n">
        <v>100</v>
      </c>
      <c r="J78" s="272" t="n">
        <v>100</v>
      </c>
      <c r="K78" s="272" t="n">
        <v>0</v>
      </c>
      <c r="L78" s="272" t="n">
        <v>200</v>
      </c>
      <c r="M78" s="272" t="n">
        <v>200</v>
      </c>
      <c r="N78" s="273" t="n">
        <v>1500</v>
      </c>
    </row>
    <row r="79" ht="15" customHeight="1" s="163">
      <c r="A79" s="271" t="inlineStr">
        <is>
          <t>Gabriel Adriano de Souza</t>
        </is>
      </c>
      <c r="B79" s="272" t="n">
        <v>130</v>
      </c>
      <c r="C79" s="272" t="n">
        <v>130</v>
      </c>
      <c r="D79" s="272" t="n">
        <v>0</v>
      </c>
      <c r="E79" s="272" t="n">
        <v>0</v>
      </c>
      <c r="F79" s="272" t="n">
        <v>0</v>
      </c>
      <c r="G79" s="272" t="n">
        <v>0</v>
      </c>
      <c r="H79" s="272" t="n">
        <v>0</v>
      </c>
      <c r="I79" s="272" t="n">
        <v>0</v>
      </c>
      <c r="J79" s="272" t="n">
        <v>0</v>
      </c>
      <c r="K79" s="272" t="n">
        <v>0</v>
      </c>
      <c r="L79" s="272" t="n">
        <v>0</v>
      </c>
      <c r="M79" s="272" t="n">
        <v>0</v>
      </c>
      <c r="N79" s="273" t="n">
        <v>260</v>
      </c>
    </row>
    <row r="80" ht="15" customHeight="1" s="163">
      <c r="A80" s="271" t="inlineStr">
        <is>
          <t>Marcelo Marcos Delgado</t>
        </is>
      </c>
      <c r="B80" s="272" t="n">
        <v>76</v>
      </c>
      <c r="C80" s="272" t="n">
        <v>76</v>
      </c>
      <c r="D80" s="272" t="n">
        <v>0</v>
      </c>
      <c r="E80" s="272" t="n">
        <v>0</v>
      </c>
      <c r="F80" s="272" t="n">
        <v>0</v>
      </c>
      <c r="G80" s="272" t="n">
        <v>76</v>
      </c>
      <c r="H80" s="272" t="n">
        <v>76</v>
      </c>
      <c r="I80" s="272" t="n">
        <v>76</v>
      </c>
      <c r="J80" s="272" t="n">
        <v>76</v>
      </c>
      <c r="K80" s="272" t="n">
        <v>76</v>
      </c>
      <c r="L80" s="272" t="n">
        <v>76</v>
      </c>
      <c r="M80" s="272" t="n">
        <v>76</v>
      </c>
      <c r="N80" s="273" t="n">
        <v>684</v>
      </c>
    </row>
    <row r="81" ht="15" customHeight="1" s="163">
      <c r="A81" s="271" t="inlineStr">
        <is>
          <t>Marcos Marcelo Delgado</t>
        </is>
      </c>
      <c r="B81" s="272" t="n">
        <v>76</v>
      </c>
      <c r="C81" s="272" t="n">
        <v>76</v>
      </c>
      <c r="D81" s="272" t="n">
        <v>0</v>
      </c>
      <c r="E81" s="272" t="n">
        <v>0</v>
      </c>
      <c r="F81" s="272" t="n">
        <v>0</v>
      </c>
      <c r="G81" s="272" t="n">
        <v>76</v>
      </c>
      <c r="H81" s="272" t="n">
        <v>76</v>
      </c>
      <c r="I81" s="272" t="n">
        <v>76</v>
      </c>
      <c r="J81" s="272" t="n">
        <v>76</v>
      </c>
      <c r="K81" s="272" t="n">
        <v>76</v>
      </c>
      <c r="L81" s="272" t="n">
        <v>76</v>
      </c>
      <c r="M81" s="272" t="n">
        <v>76</v>
      </c>
      <c r="N81" s="273" t="n">
        <v>684</v>
      </c>
    </row>
    <row r="82" ht="15" customHeight="1" s="163">
      <c r="A82" s="271" t="inlineStr">
        <is>
          <t>Luiz Ailton de Oliveira Pinto</t>
        </is>
      </c>
      <c r="B82" s="272" t="n">
        <v>200</v>
      </c>
      <c r="C82" s="272" t="n">
        <v>200</v>
      </c>
      <c r="D82" s="272" t="n">
        <v>0</v>
      </c>
      <c r="E82" s="272" t="n">
        <v>0</v>
      </c>
      <c r="F82" s="272" t="n">
        <v>0</v>
      </c>
      <c r="G82" s="272" t="n">
        <v>150</v>
      </c>
      <c r="H82" s="272" t="n">
        <v>150</v>
      </c>
      <c r="I82" s="272" t="n">
        <v>200</v>
      </c>
      <c r="J82" s="272" t="n">
        <v>200</v>
      </c>
      <c r="K82" s="272" t="n">
        <v>0</v>
      </c>
      <c r="L82" s="272" t="n">
        <v>0</v>
      </c>
      <c r="M82" s="272" t="n">
        <v>150</v>
      </c>
      <c r="N82" s="273" t="n">
        <v>1250</v>
      </c>
    </row>
    <row r="83" ht="15" customHeight="1" s="163">
      <c r="A83" s="271" t="inlineStr">
        <is>
          <t>Renato José da Silva</t>
        </is>
      </c>
      <c r="B83" s="272" t="n">
        <v>0</v>
      </c>
      <c r="C83" s="272" t="n">
        <v>0</v>
      </c>
      <c r="D83" s="272" t="n">
        <v>0</v>
      </c>
      <c r="E83" s="272" t="n">
        <v>0</v>
      </c>
      <c r="F83" s="272" t="n">
        <v>0</v>
      </c>
      <c r="G83" s="272" t="n">
        <v>250</v>
      </c>
      <c r="H83" s="272" t="n">
        <v>250</v>
      </c>
      <c r="I83" s="272" t="n">
        <v>250</v>
      </c>
      <c r="J83" s="272" t="n">
        <v>200</v>
      </c>
      <c r="K83" s="272" t="n">
        <v>150</v>
      </c>
      <c r="L83" s="272" t="n">
        <v>150</v>
      </c>
      <c r="M83" s="272" t="n">
        <v>150</v>
      </c>
      <c r="N83" s="273" t="n">
        <v>1400</v>
      </c>
    </row>
    <row r="84" ht="15" customHeight="1" s="163">
      <c r="A84" s="271" t="inlineStr">
        <is>
          <t>Arnaldo da Silva</t>
        </is>
      </c>
      <c r="B84" s="272" t="n">
        <v>350</v>
      </c>
      <c r="C84" s="272" t="n">
        <v>350</v>
      </c>
      <c r="D84" s="272" t="n">
        <v>350</v>
      </c>
      <c r="E84" s="272" t="n">
        <v>0</v>
      </c>
      <c r="F84" s="272" t="n">
        <v>0</v>
      </c>
      <c r="G84" s="272" t="n">
        <v>310</v>
      </c>
      <c r="H84" s="272" t="n">
        <v>0</v>
      </c>
      <c r="I84" s="272" t="n">
        <v>0</v>
      </c>
      <c r="J84" s="272" t="n">
        <v>0</v>
      </c>
      <c r="K84" s="272" t="n">
        <v>0</v>
      </c>
      <c r="L84" s="272" t="n">
        <v>0</v>
      </c>
      <c r="M84" s="272" t="n">
        <v>0</v>
      </c>
      <c r="N84" s="273" t="n">
        <v>1360</v>
      </c>
    </row>
    <row r="86" ht="19.5" customHeight="1" s="163">
      <c r="A86" s="186" t="inlineStr">
        <is>
          <t>COUVE-FLOR</t>
        </is>
      </c>
    </row>
    <row r="87" ht="19.5" customHeight="1" s="163">
      <c r="A87" s="270" t="inlineStr">
        <is>
          <t>Produtor</t>
        </is>
      </c>
      <c r="B87" s="270" t="inlineStr">
        <is>
          <t>Out/26</t>
        </is>
      </c>
      <c r="C87" s="270" t="inlineStr">
        <is>
          <t>Nov/26</t>
        </is>
      </c>
      <c r="D87" s="270" t="inlineStr">
        <is>
          <t>Dez/26</t>
        </is>
      </c>
      <c r="E87" s="270" t="inlineStr">
        <is>
          <t>Jan/27</t>
        </is>
      </c>
      <c r="F87" s="270" t="inlineStr">
        <is>
          <t>Fev/27</t>
        </is>
      </c>
      <c r="G87" s="270" t="inlineStr">
        <is>
          <t>Mar/27</t>
        </is>
      </c>
      <c r="H87" s="270" t="inlineStr">
        <is>
          <t>Abr/27</t>
        </is>
      </c>
      <c r="I87" s="270" t="inlineStr">
        <is>
          <t>Mai/27</t>
        </is>
      </c>
      <c r="J87" s="270" t="inlineStr">
        <is>
          <t>Jun/27</t>
        </is>
      </c>
      <c r="K87" s="270" t="inlineStr">
        <is>
          <t>Jul/27</t>
        </is>
      </c>
      <c r="L87" s="270" t="inlineStr">
        <is>
          <t>Ago/27</t>
        </is>
      </c>
      <c r="M87" s="270" t="inlineStr">
        <is>
          <t>Set/27</t>
        </is>
      </c>
      <c r="N87" s="270" t="inlineStr">
        <is>
          <t>Total Ano (kg)</t>
        </is>
      </c>
    </row>
    <row r="88" ht="15" customHeight="1" s="163">
      <c r="A88" s="271" t="inlineStr">
        <is>
          <t>Rodolfo Azevedo de Andrade</t>
        </is>
      </c>
      <c r="B88" s="272" t="n">
        <v>0</v>
      </c>
      <c r="C88" s="272" t="n">
        <v>0</v>
      </c>
      <c r="D88" s="272" t="n">
        <v>0</v>
      </c>
      <c r="E88" s="272" t="n">
        <v>0</v>
      </c>
      <c r="F88" s="272" t="n">
        <v>0</v>
      </c>
      <c r="G88" s="272" t="n">
        <v>0</v>
      </c>
      <c r="H88" s="272" t="n">
        <v>0</v>
      </c>
      <c r="I88" s="272" t="n">
        <v>0</v>
      </c>
      <c r="J88" s="272" t="n">
        <v>91</v>
      </c>
      <c r="K88" s="272" t="n">
        <v>91</v>
      </c>
      <c r="L88" s="272" t="n">
        <v>91</v>
      </c>
      <c r="M88" s="272" t="n">
        <v>91</v>
      </c>
      <c r="N88" s="273" t="n">
        <v>364</v>
      </c>
    </row>
    <row r="89" ht="15" customHeight="1" s="163">
      <c r="A89" s="271" t="inlineStr">
        <is>
          <t>Claudeni Rodrigues Xavier</t>
        </is>
      </c>
      <c r="B89" s="272" t="n">
        <v>0</v>
      </c>
      <c r="C89" s="272" t="n">
        <v>0</v>
      </c>
      <c r="D89" s="272" t="n">
        <v>0</v>
      </c>
      <c r="E89" s="272" t="n">
        <v>0</v>
      </c>
      <c r="F89" s="272" t="n">
        <v>0</v>
      </c>
      <c r="G89" s="272" t="n">
        <v>0</v>
      </c>
      <c r="H89" s="272" t="n">
        <v>0</v>
      </c>
      <c r="I89" s="272" t="n">
        <v>200</v>
      </c>
      <c r="J89" s="272" t="n">
        <v>200</v>
      </c>
      <c r="K89" s="272" t="n">
        <v>200</v>
      </c>
      <c r="L89" s="272" t="n">
        <v>0</v>
      </c>
      <c r="M89" s="272" t="n">
        <v>0</v>
      </c>
      <c r="N89" s="273" t="n">
        <v>600</v>
      </c>
    </row>
    <row r="91" ht="19.5" customHeight="1" s="163">
      <c r="A91" s="186" t="inlineStr">
        <is>
          <t>ESPINAFRE</t>
        </is>
      </c>
    </row>
    <row r="92" ht="19.5" customHeight="1" s="163">
      <c r="A92" s="270" t="inlineStr">
        <is>
          <t>Produtor</t>
        </is>
      </c>
      <c r="B92" s="270" t="inlineStr">
        <is>
          <t>Out/26</t>
        </is>
      </c>
      <c r="C92" s="270" t="inlineStr">
        <is>
          <t>Nov/26</t>
        </is>
      </c>
      <c r="D92" s="270" t="inlineStr">
        <is>
          <t>Dez/26</t>
        </is>
      </c>
      <c r="E92" s="270" t="inlineStr">
        <is>
          <t>Jan/27</t>
        </is>
      </c>
      <c r="F92" s="270" t="inlineStr">
        <is>
          <t>Fev/27</t>
        </is>
      </c>
      <c r="G92" s="270" t="inlineStr">
        <is>
          <t>Mar/27</t>
        </is>
      </c>
      <c r="H92" s="270" t="inlineStr">
        <is>
          <t>Abr/27</t>
        </is>
      </c>
      <c r="I92" s="270" t="inlineStr">
        <is>
          <t>Mai/27</t>
        </is>
      </c>
      <c r="J92" s="270" t="inlineStr">
        <is>
          <t>Jun/27</t>
        </is>
      </c>
      <c r="K92" s="270" t="inlineStr">
        <is>
          <t>Jul/27</t>
        </is>
      </c>
      <c r="L92" s="270" t="inlineStr">
        <is>
          <t>Ago/27</t>
        </is>
      </c>
      <c r="M92" s="270" t="inlineStr">
        <is>
          <t>Set/27</t>
        </is>
      </c>
      <c r="N92" s="270" t="inlineStr">
        <is>
          <t>Total Ano (kg)</t>
        </is>
      </c>
    </row>
    <row r="93" ht="15" customHeight="1" s="163">
      <c r="A93" s="271" t="inlineStr">
        <is>
          <t>Ana Claudia Correas Ruas</t>
        </is>
      </c>
      <c r="B93" s="272" t="n">
        <v>28</v>
      </c>
      <c r="C93" s="272" t="n">
        <v>28</v>
      </c>
      <c r="D93" s="272" t="n">
        <v>28</v>
      </c>
      <c r="E93" s="272" t="n">
        <v>0</v>
      </c>
      <c r="F93" s="272" t="n">
        <v>0</v>
      </c>
      <c r="G93" s="272" t="n">
        <v>28</v>
      </c>
      <c r="H93" s="272" t="n">
        <v>28</v>
      </c>
      <c r="I93" s="272" t="n">
        <v>28</v>
      </c>
      <c r="J93" s="272" t="n">
        <v>28</v>
      </c>
      <c r="K93" s="272" t="n">
        <v>28</v>
      </c>
      <c r="L93" s="272" t="n">
        <v>28</v>
      </c>
      <c r="M93" s="272" t="n">
        <v>28</v>
      </c>
      <c r="N93" s="273" t="n">
        <v>280</v>
      </c>
    </row>
    <row r="94" ht="15" customHeight="1" s="163">
      <c r="A94" s="271" t="inlineStr">
        <is>
          <t>Marcio Azevedo de Souza</t>
        </is>
      </c>
      <c r="B94" s="272" t="n">
        <v>50</v>
      </c>
      <c r="C94" s="272" t="n">
        <v>50</v>
      </c>
      <c r="D94" s="272" t="n">
        <v>0</v>
      </c>
      <c r="E94" s="272" t="n">
        <v>0</v>
      </c>
      <c r="F94" s="272" t="n">
        <v>0</v>
      </c>
      <c r="G94" s="272" t="n">
        <v>0</v>
      </c>
      <c r="H94" s="272" t="n">
        <v>0</v>
      </c>
      <c r="I94" s="272" t="n">
        <v>0</v>
      </c>
      <c r="J94" s="272" t="n">
        <v>50</v>
      </c>
      <c r="K94" s="272" t="n">
        <v>50</v>
      </c>
      <c r="L94" s="272" t="n">
        <v>50</v>
      </c>
      <c r="M94" s="272" t="n">
        <v>0</v>
      </c>
      <c r="N94" s="273" t="n">
        <v>250</v>
      </c>
    </row>
    <row r="95" ht="15" customHeight="1" s="163">
      <c r="A95" s="271" t="inlineStr">
        <is>
          <t>Rodolfo Azevedo de Andrade</t>
        </is>
      </c>
      <c r="B95" s="272" t="n">
        <v>0</v>
      </c>
      <c r="C95" s="272" t="n">
        <v>0</v>
      </c>
      <c r="D95" s="272" t="n">
        <v>0</v>
      </c>
      <c r="E95" s="272" t="n">
        <v>0</v>
      </c>
      <c r="F95" s="272" t="n">
        <v>0</v>
      </c>
      <c r="G95" s="272" t="n">
        <v>0</v>
      </c>
      <c r="H95" s="272" t="n">
        <v>0</v>
      </c>
      <c r="I95" s="272" t="n">
        <v>0</v>
      </c>
      <c r="J95" s="272" t="n">
        <v>178</v>
      </c>
      <c r="K95" s="272" t="n">
        <v>178</v>
      </c>
      <c r="L95" s="272" t="n">
        <v>178</v>
      </c>
      <c r="M95" s="272" t="n">
        <v>178</v>
      </c>
      <c r="N95" s="273" t="n">
        <v>712</v>
      </c>
    </row>
    <row r="96" ht="15" customHeight="1" s="163">
      <c r="A96" s="271" t="inlineStr">
        <is>
          <t>Jorge Gabriel Pereira Diniz</t>
        </is>
      </c>
      <c r="B96" s="272" t="n">
        <v>100</v>
      </c>
      <c r="C96" s="272" t="n">
        <v>100</v>
      </c>
      <c r="D96" s="272" t="n">
        <v>100</v>
      </c>
      <c r="E96" s="272" t="n">
        <v>0</v>
      </c>
      <c r="F96" s="272" t="n">
        <v>0</v>
      </c>
      <c r="G96" s="272" t="n">
        <v>0</v>
      </c>
      <c r="H96" s="272" t="n">
        <v>0</v>
      </c>
      <c r="I96" s="272" t="n">
        <v>0</v>
      </c>
      <c r="J96" s="272" t="n">
        <v>0</v>
      </c>
      <c r="K96" s="272" t="n">
        <v>0</v>
      </c>
      <c r="L96" s="272" t="n">
        <v>100</v>
      </c>
      <c r="M96" s="272" t="n">
        <v>100</v>
      </c>
      <c r="N96" s="273" t="n">
        <v>500</v>
      </c>
    </row>
    <row r="97" ht="15" customHeight="1" s="163">
      <c r="A97" s="271" t="inlineStr">
        <is>
          <t>Gabriel Adriano de Souza</t>
        </is>
      </c>
      <c r="B97" s="272" t="n">
        <v>50</v>
      </c>
      <c r="C97" s="272" t="n">
        <v>50</v>
      </c>
      <c r="D97" s="272" t="n">
        <v>0</v>
      </c>
      <c r="E97" s="272" t="n">
        <v>0</v>
      </c>
      <c r="F97" s="272" t="n">
        <v>0</v>
      </c>
      <c r="G97" s="272" t="n">
        <v>0</v>
      </c>
      <c r="H97" s="272" t="n">
        <v>0</v>
      </c>
      <c r="I97" s="272" t="n">
        <v>0</v>
      </c>
      <c r="J97" s="272" t="n">
        <v>0</v>
      </c>
      <c r="K97" s="272" t="n">
        <v>0</v>
      </c>
      <c r="L97" s="272" t="n">
        <v>0</v>
      </c>
      <c r="M97" s="272" t="n">
        <v>0</v>
      </c>
      <c r="N97" s="273" t="n">
        <v>100</v>
      </c>
    </row>
    <row r="98" ht="15" customHeight="1" s="163">
      <c r="A98" s="271" t="inlineStr">
        <is>
          <t>Marcelo Marcos Delgado</t>
        </is>
      </c>
      <c r="B98" s="272" t="n">
        <v>49</v>
      </c>
      <c r="C98" s="272" t="n">
        <v>49</v>
      </c>
      <c r="D98" s="272" t="n">
        <v>0</v>
      </c>
      <c r="E98" s="272" t="n">
        <v>0</v>
      </c>
      <c r="F98" s="272" t="n">
        <v>0</v>
      </c>
      <c r="G98" s="272" t="n">
        <v>49</v>
      </c>
      <c r="H98" s="272" t="n">
        <v>49</v>
      </c>
      <c r="I98" s="272" t="n">
        <v>49</v>
      </c>
      <c r="J98" s="272" t="n">
        <v>49</v>
      </c>
      <c r="K98" s="272" t="n">
        <v>49</v>
      </c>
      <c r="L98" s="272" t="n">
        <v>49</v>
      </c>
      <c r="M98" s="272" t="n">
        <v>49</v>
      </c>
      <c r="N98" s="273" t="n">
        <v>441</v>
      </c>
    </row>
    <row r="99" ht="15" customHeight="1" s="163">
      <c r="A99" s="271" t="inlineStr">
        <is>
          <t>Marcos Marcelo Delgado</t>
        </is>
      </c>
      <c r="B99" s="272" t="n">
        <v>49</v>
      </c>
      <c r="C99" s="272" t="n">
        <v>49</v>
      </c>
      <c r="D99" s="272" t="n">
        <v>0</v>
      </c>
      <c r="E99" s="272" t="n">
        <v>0</v>
      </c>
      <c r="F99" s="272" t="n">
        <v>0</v>
      </c>
      <c r="G99" s="272" t="n">
        <v>49</v>
      </c>
      <c r="H99" s="272" t="n">
        <v>49</v>
      </c>
      <c r="I99" s="272" t="n">
        <v>49</v>
      </c>
      <c r="J99" s="272" t="n">
        <v>49</v>
      </c>
      <c r="K99" s="272" t="n">
        <v>49</v>
      </c>
      <c r="L99" s="272" t="n">
        <v>49</v>
      </c>
      <c r="M99" s="272" t="n">
        <v>49</v>
      </c>
      <c r="N99" s="273" t="n">
        <v>441</v>
      </c>
    </row>
    <row r="100" ht="15" customHeight="1" s="163">
      <c r="A100" s="271" t="inlineStr">
        <is>
          <t>Nilson Ferreira da Silva</t>
        </is>
      </c>
      <c r="B100" s="272" t="n">
        <v>0</v>
      </c>
      <c r="C100" s="272" t="n">
        <v>0</v>
      </c>
      <c r="D100" s="272" t="n">
        <v>0</v>
      </c>
      <c r="E100" s="272" t="n">
        <v>0</v>
      </c>
      <c r="F100" s="272" t="n">
        <v>0</v>
      </c>
      <c r="G100" s="272" t="n">
        <v>200</v>
      </c>
      <c r="H100" s="272" t="n">
        <v>200</v>
      </c>
      <c r="I100" s="272" t="n">
        <v>200</v>
      </c>
      <c r="J100" s="272" t="n">
        <v>200</v>
      </c>
      <c r="K100" s="272" t="n">
        <v>0</v>
      </c>
      <c r="L100" s="272" t="n">
        <v>0</v>
      </c>
      <c r="M100" s="272" t="n">
        <v>0</v>
      </c>
      <c r="N100" s="273" t="n">
        <v>800</v>
      </c>
    </row>
    <row r="102" ht="19.5" customHeight="1" s="163">
      <c r="A102" s="186" t="inlineStr">
        <is>
          <t>MAÇÃ GALA</t>
        </is>
      </c>
    </row>
    <row r="103" ht="15" customHeight="1" s="163">
      <c r="A103" s="274" t="inlineStr">
        <is>
          <t>⚠ Nenhum produtor cadastrado para este produto no plano anual.</t>
        </is>
      </c>
    </row>
    <row r="105" ht="19.5" customHeight="1" s="163">
      <c r="A105" s="186" t="inlineStr">
        <is>
          <t>MEL</t>
        </is>
      </c>
    </row>
    <row r="106" ht="15" customHeight="1" s="163">
      <c r="A106" s="274" t="inlineStr">
        <is>
          <t>⚠ Nenhum produtor cadastrado para este produto no plano anual.</t>
        </is>
      </c>
    </row>
    <row r="108" ht="19.5" customHeight="1" s="163">
      <c r="A108" s="186" t="inlineStr">
        <is>
          <t>OVOS</t>
        </is>
      </c>
    </row>
    <row r="109" ht="15" customHeight="1" s="163">
      <c r="A109" s="274" t="inlineStr">
        <is>
          <t>⚠ Nenhum produtor cadastrado para este produto no plano anual.</t>
        </is>
      </c>
    </row>
    <row r="111" ht="19.5" customHeight="1" s="163">
      <c r="A111" s="186" t="inlineStr">
        <is>
          <t>REPOLHO</t>
        </is>
      </c>
    </row>
    <row r="112" ht="19.5" customHeight="1" s="163">
      <c r="A112" s="270" t="inlineStr">
        <is>
          <t>Produtor</t>
        </is>
      </c>
      <c r="B112" s="270" t="inlineStr">
        <is>
          <t>Out/26</t>
        </is>
      </c>
      <c r="C112" s="270" t="inlineStr">
        <is>
          <t>Nov/26</t>
        </is>
      </c>
      <c r="D112" s="270" t="inlineStr">
        <is>
          <t>Dez/26</t>
        </is>
      </c>
      <c r="E112" s="270" t="inlineStr">
        <is>
          <t>Jan/27</t>
        </is>
      </c>
      <c r="F112" s="270" t="inlineStr">
        <is>
          <t>Fev/27</t>
        </is>
      </c>
      <c r="G112" s="270" t="inlineStr">
        <is>
          <t>Mar/27</t>
        </is>
      </c>
      <c r="H112" s="270" t="inlineStr">
        <is>
          <t>Abr/27</t>
        </is>
      </c>
      <c r="I112" s="270" t="inlineStr">
        <is>
          <t>Mai/27</t>
        </is>
      </c>
      <c r="J112" s="270" t="inlineStr">
        <is>
          <t>Jun/27</t>
        </is>
      </c>
      <c r="K112" s="270" t="inlineStr">
        <is>
          <t>Jul/27</t>
        </is>
      </c>
      <c r="L112" s="270" t="inlineStr">
        <is>
          <t>Ago/27</t>
        </is>
      </c>
      <c r="M112" s="270" t="inlineStr">
        <is>
          <t>Set/27</t>
        </is>
      </c>
      <c r="N112" s="270" t="inlineStr">
        <is>
          <t>Total Ano (kg)</t>
        </is>
      </c>
    </row>
    <row r="113" ht="15" customHeight="1" s="163">
      <c r="A113" s="271" t="inlineStr">
        <is>
          <t>José Gilmar Santana de Mello</t>
        </is>
      </c>
      <c r="B113" s="272" t="n">
        <v>0</v>
      </c>
      <c r="C113" s="272" t="n">
        <v>0</v>
      </c>
      <c r="D113" s="272" t="n">
        <v>0</v>
      </c>
      <c r="E113" s="272" t="n">
        <v>0</v>
      </c>
      <c r="F113" s="272" t="n">
        <v>0</v>
      </c>
      <c r="G113" s="272" t="n">
        <v>0</v>
      </c>
      <c r="H113" s="272" t="n">
        <v>0</v>
      </c>
      <c r="I113" s="272" t="n">
        <v>0</v>
      </c>
      <c r="J113" s="272" t="n">
        <v>1525</v>
      </c>
      <c r="K113" s="272" t="n">
        <v>1525</v>
      </c>
      <c r="L113" s="272" t="n">
        <v>0</v>
      </c>
      <c r="M113" s="272" t="n">
        <v>0</v>
      </c>
      <c r="N113" s="273" t="n">
        <v>3050</v>
      </c>
    </row>
    <row r="114" ht="15" customHeight="1" s="163">
      <c r="A114" s="271" t="inlineStr">
        <is>
          <t>José Rodrigues de Melo</t>
        </is>
      </c>
      <c r="B114" s="272" t="n">
        <v>0</v>
      </c>
      <c r="C114" s="272" t="n">
        <v>0</v>
      </c>
      <c r="D114" s="272" t="n">
        <v>0</v>
      </c>
      <c r="E114" s="272" t="n">
        <v>0</v>
      </c>
      <c r="F114" s="272" t="n">
        <v>0</v>
      </c>
      <c r="G114" s="272" t="n">
        <v>0</v>
      </c>
      <c r="H114" s="272" t="n">
        <v>0</v>
      </c>
      <c r="I114" s="272" t="n">
        <v>0</v>
      </c>
      <c r="J114" s="272" t="n">
        <v>1525</v>
      </c>
      <c r="K114" s="272" t="n">
        <v>1525</v>
      </c>
      <c r="L114" s="272" t="n">
        <v>0</v>
      </c>
      <c r="M114" s="272" t="n">
        <v>0</v>
      </c>
      <c r="N114" s="273" t="n">
        <v>3050</v>
      </c>
    </row>
    <row r="115" ht="15" customHeight="1" s="163">
      <c r="A115" s="271" t="inlineStr">
        <is>
          <t>Lucio Mauro Felix da Silva</t>
        </is>
      </c>
      <c r="B115" s="272" t="n">
        <v>200</v>
      </c>
      <c r="C115" s="272" t="n">
        <v>200</v>
      </c>
      <c r="D115" s="272" t="n">
        <v>100</v>
      </c>
      <c r="E115" s="272" t="n">
        <v>0</v>
      </c>
      <c r="F115" s="272" t="n">
        <v>0</v>
      </c>
      <c r="G115" s="272" t="n">
        <v>100</v>
      </c>
      <c r="H115" s="272" t="n">
        <v>100</v>
      </c>
      <c r="I115" s="272" t="n">
        <v>100</v>
      </c>
      <c r="J115" s="272" t="n">
        <v>100</v>
      </c>
      <c r="K115" s="272" t="n">
        <v>100</v>
      </c>
      <c r="L115" s="272" t="n">
        <v>100</v>
      </c>
      <c r="M115" s="272" t="n">
        <v>100</v>
      </c>
      <c r="N115" s="273" t="n">
        <v>1200</v>
      </c>
    </row>
    <row r="116" ht="15" customHeight="1" s="163">
      <c r="A116" s="271" t="inlineStr">
        <is>
          <t>Marcelo Marcos Delgado</t>
        </is>
      </c>
      <c r="B116" s="272" t="n">
        <v>0</v>
      </c>
      <c r="C116" s="272" t="n">
        <v>0</v>
      </c>
      <c r="D116" s="272" t="n">
        <v>0</v>
      </c>
      <c r="E116" s="272" t="n">
        <v>0</v>
      </c>
      <c r="F116" s="272" t="n">
        <v>0</v>
      </c>
      <c r="G116" s="272" t="n">
        <v>244</v>
      </c>
      <c r="H116" s="272" t="n">
        <v>244</v>
      </c>
      <c r="I116" s="272" t="n">
        <v>244</v>
      </c>
      <c r="J116" s="272" t="n">
        <v>244</v>
      </c>
      <c r="K116" s="272" t="n">
        <v>0</v>
      </c>
      <c r="L116" s="272" t="n">
        <v>0</v>
      </c>
      <c r="M116" s="272" t="n">
        <v>0</v>
      </c>
      <c r="N116" s="273" t="n">
        <v>976</v>
      </c>
    </row>
    <row r="117" ht="15" customHeight="1" s="163">
      <c r="A117" s="271" t="inlineStr">
        <is>
          <t>Marcos Marcelo Delgado</t>
        </is>
      </c>
      <c r="B117" s="272" t="n">
        <v>0</v>
      </c>
      <c r="C117" s="272" t="n">
        <v>0</v>
      </c>
      <c r="D117" s="272" t="n">
        <v>0</v>
      </c>
      <c r="E117" s="272" t="n">
        <v>0</v>
      </c>
      <c r="F117" s="272" t="n">
        <v>0</v>
      </c>
      <c r="G117" s="272" t="n">
        <v>244</v>
      </c>
      <c r="H117" s="272" t="n">
        <v>244</v>
      </c>
      <c r="I117" s="272" t="n">
        <v>244</v>
      </c>
      <c r="J117" s="272" t="n">
        <v>244</v>
      </c>
      <c r="K117" s="272" t="n">
        <v>0</v>
      </c>
      <c r="L117" s="272" t="n">
        <v>0</v>
      </c>
      <c r="M117" s="272" t="n">
        <v>0</v>
      </c>
      <c r="N117" s="273" t="n">
        <v>976</v>
      </c>
    </row>
    <row r="119" ht="19.5" customHeight="1" s="163">
      <c r="A119" s="186" t="inlineStr">
        <is>
          <t>TANGERINA PONKAN</t>
        </is>
      </c>
    </row>
    <row r="120" ht="19.5" customHeight="1" s="163">
      <c r="A120" s="270" t="inlineStr">
        <is>
          <t>Produtor</t>
        </is>
      </c>
      <c r="B120" s="270" t="inlineStr">
        <is>
          <t>Out/26</t>
        </is>
      </c>
      <c r="C120" s="270" t="inlineStr">
        <is>
          <t>Nov/26</t>
        </is>
      </c>
      <c r="D120" s="270" t="inlineStr">
        <is>
          <t>Dez/26</t>
        </is>
      </c>
      <c r="E120" s="270" t="inlineStr">
        <is>
          <t>Jan/27</t>
        </is>
      </c>
      <c r="F120" s="270" t="inlineStr">
        <is>
          <t>Fev/27</t>
        </is>
      </c>
      <c r="G120" s="270" t="inlineStr">
        <is>
          <t>Mar/27</t>
        </is>
      </c>
      <c r="H120" s="270" t="inlineStr">
        <is>
          <t>Abr/27</t>
        </is>
      </c>
      <c r="I120" s="270" t="inlineStr">
        <is>
          <t>Mai/27</t>
        </is>
      </c>
      <c r="J120" s="270" t="inlineStr">
        <is>
          <t>Jun/27</t>
        </is>
      </c>
      <c r="K120" s="270" t="inlineStr">
        <is>
          <t>Jul/27</t>
        </is>
      </c>
      <c r="L120" s="270" t="inlineStr">
        <is>
          <t>Ago/27</t>
        </is>
      </c>
      <c r="M120" s="270" t="inlineStr">
        <is>
          <t>Set/27</t>
        </is>
      </c>
      <c r="N120" s="270" t="inlineStr">
        <is>
          <t>Total Ano (kg)</t>
        </is>
      </c>
    </row>
    <row r="121" ht="15" customHeight="1" s="163">
      <c r="A121" s="271" t="inlineStr">
        <is>
          <t>Marco Antonio Coelho</t>
        </is>
      </c>
      <c r="B121" s="272" t="n">
        <v>0</v>
      </c>
      <c r="C121" s="272" t="n">
        <v>0</v>
      </c>
      <c r="D121" s="272" t="n">
        <v>0</v>
      </c>
      <c r="E121" s="272" t="n">
        <v>0</v>
      </c>
      <c r="F121" s="272" t="n">
        <v>0</v>
      </c>
      <c r="G121" s="272" t="n">
        <v>0</v>
      </c>
      <c r="H121" s="272" t="n">
        <v>0</v>
      </c>
      <c r="I121" s="272" t="n">
        <v>0</v>
      </c>
      <c r="J121" s="272" t="n">
        <v>500</v>
      </c>
      <c r="K121" s="272" t="n">
        <v>500</v>
      </c>
      <c r="L121" s="272" t="n">
        <v>0</v>
      </c>
      <c r="M121" s="272" t="n">
        <v>0</v>
      </c>
      <c r="N121" s="273" t="n">
        <v>1000</v>
      </c>
    </row>
    <row r="122" ht="15" customHeight="1" s="163">
      <c r="A122" s="271" t="inlineStr">
        <is>
          <t>Gabriel Adriano de Souza</t>
        </is>
      </c>
      <c r="B122" s="272" t="n">
        <v>0</v>
      </c>
      <c r="C122" s="272" t="n">
        <v>0</v>
      </c>
      <c r="D122" s="272" t="n">
        <v>0</v>
      </c>
      <c r="E122" s="272" t="n">
        <v>0</v>
      </c>
      <c r="F122" s="272" t="n">
        <v>0</v>
      </c>
      <c r="G122" s="272" t="n">
        <v>0</v>
      </c>
      <c r="H122" s="272" t="n">
        <v>330</v>
      </c>
      <c r="I122" s="272" t="n">
        <v>600</v>
      </c>
      <c r="J122" s="272" t="n">
        <v>800</v>
      </c>
      <c r="K122" s="272" t="n">
        <v>0</v>
      </c>
      <c r="L122" s="272" t="n">
        <v>0</v>
      </c>
      <c r="M122" s="272" t="n">
        <v>0</v>
      </c>
      <c r="N122" s="273" t="n">
        <v>1730</v>
      </c>
    </row>
  </sheetData>
  <sheetProtection selectLockedCells="0" selectUnlockedCells="0" sheet="1" objects="0" insertRows="1" insertHyperlinks="1" autoFilter="1" scenarios="0" formatColumns="0" deleteColumns="1" insertColumns="1" pivotTables="1" deleteRows="1" formatCells="0" formatRows="0" sort="0"/>
  <mergeCells count="23">
    <mergeCell ref="A39:N39"/>
    <mergeCell ref="A15:N15"/>
    <mergeCell ref="A73:N73"/>
    <mergeCell ref="A11:N11"/>
    <mergeCell ref="A45:N45"/>
    <mergeCell ref="A103:N103"/>
    <mergeCell ref="A119:N119"/>
    <mergeCell ref="A65:N65"/>
    <mergeCell ref="A108:N108"/>
    <mergeCell ref="A56:N56"/>
    <mergeCell ref="A105:N105"/>
    <mergeCell ref="A86:N86"/>
    <mergeCell ref="A33:N33"/>
    <mergeCell ref="A5:N5"/>
    <mergeCell ref="A32:N32"/>
    <mergeCell ref="A106:N106"/>
    <mergeCell ref="A91:N91"/>
    <mergeCell ref="A109:N109"/>
    <mergeCell ref="A35:N35"/>
    <mergeCell ref="A52:N52"/>
    <mergeCell ref="A19:N19"/>
    <mergeCell ref="A111:N111"/>
    <mergeCell ref="A102:N102"/>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J24" activeCellId="0" sqref="J24"/>
    </sheetView>
  </sheetViews>
  <sheetFormatPr baseColWidth="8" defaultColWidth="8.6796875" defaultRowHeight="15" zeroHeight="0" outlineLevelRow="0"/>
  <cols>
    <col width="10" customWidth="1" style="162" min="1" max="1"/>
    <col width="40" customWidth="1" style="162" min="2" max="2"/>
  </cols>
  <sheetData>
    <row r="1" ht="17.25" customHeight="1" s="163">
      <c r="A1" s="275" t="inlineStr">
        <is>
          <t>MOTIVOS DE DEVOLUÇÃO (PRODUTOR / GALPÃO)</t>
        </is>
      </c>
    </row>
    <row r="3" ht="15" customHeight="1" s="163">
      <c r="A3" s="175" t="inlineStr">
        <is>
          <t>CÓD.</t>
        </is>
      </c>
      <c r="B3" s="175" t="inlineStr">
        <is>
          <t>MOTIVO</t>
        </is>
      </c>
      <c r="D3" s="204">
        <f>HYPERLINK("#'ÍNDICE'!A1","◄ Voltar ao Índice")</f>
        <v/>
      </c>
    </row>
    <row r="4" ht="15" customHeight="1" s="163">
      <c r="A4" s="276" t="n">
        <v>1</v>
      </c>
      <c r="B4" s="277" t="inlineStr">
        <is>
          <t>Mercadoria fora do padrão</t>
        </is>
      </c>
    </row>
    <row r="5" ht="15" customHeight="1" s="163">
      <c r="A5" s="276" t="n">
        <v>2</v>
      </c>
      <c r="B5" s="277" t="inlineStr">
        <is>
          <t>Falta no peso</t>
        </is>
      </c>
    </row>
    <row r="6" ht="15" customHeight="1" s="163">
      <c r="A6" s="276" t="n">
        <v>3</v>
      </c>
      <c r="B6" s="277" t="inlineStr">
        <is>
          <t>Sobra no peso</t>
        </is>
      </c>
    </row>
    <row r="7" ht="15" customHeight="1" s="163">
      <c r="A7" s="276" t="n">
        <v>4</v>
      </c>
      <c r="B7" s="277" t="inlineStr">
        <is>
          <t>Mercadoria estragada</t>
        </is>
      </c>
    </row>
    <row r="8" ht="15" customHeight="1" s="163">
      <c r="A8" s="276" t="n">
        <v>5</v>
      </c>
      <c r="B8" s="277" t="inlineStr">
        <is>
          <t>Folha amarelada</t>
        </is>
      </c>
    </row>
    <row r="9" ht="15" customHeight="1" s="163">
      <c r="A9" s="276" t="n">
        <v>6</v>
      </c>
      <c r="B9" s="277" t="inlineStr">
        <is>
          <t>Faltou</t>
        </is>
      </c>
    </row>
    <row r="10" ht="15" customHeight="1" s="163">
      <c r="A10" s="276" t="n">
        <v>7</v>
      </c>
      <c r="B10" s="277" t="inlineStr">
        <is>
          <t>Muito pequeno</t>
        </is>
      </c>
    </row>
    <row r="11" ht="15" customHeight="1" s="163">
      <c r="A11" s="276" t="n">
        <v>8</v>
      </c>
      <c r="B11" s="277" t="inlineStr">
        <is>
          <t>Fora do padrão de tamanho</t>
        </is>
      </c>
    </row>
    <row r="12" ht="15" customHeight="1" s="163">
      <c r="A12" s="276" t="n">
        <v>9</v>
      </c>
      <c r="B12" s="277" t="inlineStr">
        <is>
          <t>Fora do pedido</t>
        </is>
      </c>
    </row>
    <row r="13" ht="15" customHeight="1" s="163">
      <c r="A13" s="276" t="n">
        <v>10</v>
      </c>
      <c r="B13" s="277" t="inlineStr">
        <is>
          <t>Muito grande</t>
        </is>
      </c>
    </row>
    <row r="14" ht="15" customHeight="1" s="163">
      <c r="A14" s="276" t="n">
        <v>11</v>
      </c>
      <c r="B14" s="277" t="inlineStr">
        <is>
          <t>Aparência ruim</t>
        </is>
      </c>
    </row>
    <row r="15" ht="15" customHeight="1" s="163">
      <c r="A15" s="276" t="n">
        <v>12</v>
      </c>
      <c r="B15" s="277" t="inlineStr">
        <is>
          <t>Verde/imaturo</t>
        </is>
      </c>
    </row>
    <row r="16" ht="15" customHeight="1" s="163">
      <c r="A16" s="276" t="n">
        <v>13</v>
      </c>
      <c r="B16" s="277" t="inlineStr">
        <is>
          <t>Passado/murcho</t>
        </is>
      </c>
    </row>
    <row r="17" ht="15" customHeight="1" s="163">
      <c r="A17" s="276" t="n">
        <v>14</v>
      </c>
      <c r="B17" s="277" t="inlineStr">
        <is>
          <t>Manchado/pintado</t>
        </is>
      </c>
    </row>
    <row r="18" ht="15" customHeight="1" s="163">
      <c r="A18" s="276" t="n">
        <v>15</v>
      </c>
      <c r="B18" s="277" t="n"/>
    </row>
    <row r="19" ht="15" customHeight="1" s="163">
      <c r="A19" s="276" t="n">
        <v>16</v>
      </c>
      <c r="B19" s="277" t="n"/>
    </row>
    <row r="20" ht="15" customHeight="1" s="163">
      <c r="A20" s="276" t="n">
        <v>17</v>
      </c>
      <c r="B20" s="277" t="n"/>
    </row>
    <row r="21" ht="15" customHeight="1" s="163">
      <c r="A21" s="276" t="n">
        <v>18</v>
      </c>
      <c r="B21" s="277" t="n"/>
    </row>
    <row r="22" ht="15" customHeight="1" s="163">
      <c r="A22" s="276" t="n">
        <v>19</v>
      </c>
      <c r="B22" s="277" t="n"/>
    </row>
    <row r="23" ht="15" customHeight="1" s="163">
      <c r="A23" s="276" t="n">
        <v>20</v>
      </c>
      <c r="B23" s="27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9" activeCellId="0" sqref="B9"/>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ABELARDO DE LAMARE</t>
        </is>
      </c>
      <c r="C2" s="299" t="n"/>
      <c r="D2" s="299" t="n"/>
      <c r="E2" s="281" t="n"/>
    </row>
    <row r="3" ht="19.5" customHeight="1" s="163">
      <c r="A3" s="279" t="inlineStr">
        <is>
          <t>BAIRRO</t>
        </is>
      </c>
      <c r="B3" s="280" t="inlineStr">
        <is>
          <t>CAXAMBU</t>
        </is>
      </c>
      <c r="C3" s="299" t="n"/>
      <c r="D3" s="299" t="n"/>
      <c r="E3" s="281" t="n"/>
    </row>
    <row r="4" ht="19.5" customHeight="1" s="163">
      <c r="A4" s="279" t="inlineStr">
        <is>
          <t>ENDEREÇO</t>
        </is>
      </c>
      <c r="B4" s="280" t="inlineStr">
        <is>
          <t>JOSÉ ALMEIDA AMADO, 1302 - CEP 25615-081</t>
        </is>
      </c>
      <c r="C4" s="299" t="n"/>
      <c r="D4" s="299" t="n"/>
      <c r="E4" s="281" t="n"/>
    </row>
    <row r="5" ht="19.5" customHeight="1" s="163">
      <c r="A5" s="279" t="inlineStr">
        <is>
          <t>CÓDIGO</t>
        </is>
      </c>
      <c r="B5" s="280" t="inlineStr">
        <is>
          <t>1001</t>
        </is>
      </c>
      <c r="C5" s="299" t="n"/>
      <c r="D5" s="299" t="n"/>
      <c r="E5" s="281" t="n"/>
    </row>
    <row r="6" ht="19.5" customHeight="1" s="163">
      <c r="A6" s="279" t="inlineStr">
        <is>
          <t>TELEFONE</t>
        </is>
      </c>
      <c r="B6" s="280" t="inlineStr">
        <is>
          <t>(24) 2291-0223, (24) 98139-3119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BATAILLARD</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BATAILLARD, S/N - CEP 25675-160</t>
        </is>
      </c>
      <c r="C4" s="299" t="n"/>
      <c r="D4" s="299" t="n"/>
      <c r="E4" s="281" t="n"/>
    </row>
    <row r="5" ht="19.5" customHeight="1" s="163">
      <c r="A5" s="279" t="inlineStr">
        <is>
          <t>CÓDIGO</t>
        </is>
      </c>
      <c r="B5" s="280" t="inlineStr">
        <is>
          <t>1003</t>
        </is>
      </c>
      <c r="C5" s="299" t="n"/>
      <c r="D5" s="299" t="n"/>
      <c r="E5" s="281" t="n"/>
    </row>
    <row r="6" ht="19.5" customHeight="1" s="163">
      <c r="A6" s="279" t="inlineStr">
        <is>
          <t>TELEFONE</t>
        </is>
      </c>
      <c r="B6" s="280" t="inlineStr">
        <is>
          <t>(24) 2248-7603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LEONARDO BOFF</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RODOVIA BR 040 KM, 81 - CEP 25665-060</t>
        </is>
      </c>
      <c r="C4" s="299" t="n"/>
      <c r="D4" s="299" t="n"/>
      <c r="E4" s="281" t="n"/>
    </row>
    <row r="5" ht="19.5" customHeight="1" s="163">
      <c r="A5" s="279" t="inlineStr">
        <is>
          <t>CÓDIGO</t>
        </is>
      </c>
      <c r="B5" s="280" t="inlineStr">
        <is>
          <t>1004</t>
        </is>
      </c>
      <c r="C5" s="299" t="n"/>
      <c r="D5" s="299" t="n"/>
      <c r="E5" s="281" t="n"/>
    </row>
    <row r="6" ht="19.5" customHeight="1" s="163">
      <c r="A6" s="279" t="inlineStr">
        <is>
          <t>TELEFONE</t>
        </is>
      </c>
      <c r="B6" s="280" t="inlineStr">
        <is>
          <t>(24) 98849-3570, (24) 99983-5235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CLEMENTE FERNANDES</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24 DE MAIO, 517 - CEP 25640-550</t>
        </is>
      </c>
      <c r="C4" s="299" t="n"/>
      <c r="D4" s="299" t="n"/>
      <c r="E4" s="281" t="n"/>
    </row>
    <row r="5" ht="19.5" customHeight="1" s="163">
      <c r="A5" s="279" t="inlineStr">
        <is>
          <t>CÓDIGO</t>
        </is>
      </c>
      <c r="B5" s="280" t="inlineStr">
        <is>
          <t>1005</t>
        </is>
      </c>
      <c r="C5" s="299" t="n"/>
      <c r="D5" s="299" t="n"/>
      <c r="E5" s="281" t="n"/>
    </row>
    <row r="6" ht="19.5" customHeight="1" s="163">
      <c r="A6" s="279" t="inlineStr">
        <is>
          <t>TELEFONE</t>
        </is>
      </c>
      <c r="B6" s="280" t="inlineStr">
        <is>
          <t>(24) 2246-3970, (24) 99952-1663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DOM PEDRO DE ALCÂNTARA</t>
        </is>
      </c>
      <c r="C2" s="299" t="n"/>
      <c r="D2" s="299" t="n"/>
      <c r="E2" s="281" t="n"/>
    </row>
    <row r="3" ht="19.5" customHeight="1" s="163">
      <c r="A3" s="279" t="inlineStr">
        <is>
          <t>BAIRRO</t>
        </is>
      </c>
      <c r="B3" s="280" t="inlineStr">
        <is>
          <t>SANTA ROSA DE LIMA</t>
        </is>
      </c>
      <c r="C3" s="299" t="n"/>
      <c r="D3" s="299" t="n"/>
      <c r="E3" s="281" t="n"/>
    </row>
    <row r="4" ht="19.5" customHeight="1" s="163">
      <c r="A4" s="279" t="inlineStr">
        <is>
          <t>ENDEREÇO</t>
        </is>
      </c>
      <c r="B4" s="280" t="inlineStr">
        <is>
          <t>RODOVIA WASHINGTHON LUIZ, 94 - CEP 25655-000</t>
        </is>
      </c>
      <c r="C4" s="299" t="n"/>
      <c r="D4" s="299" t="n"/>
      <c r="E4" s="281" t="n"/>
    </row>
    <row r="5" ht="19.5" customHeight="1" s="163">
      <c r="A5" s="279" t="inlineStr">
        <is>
          <t>CÓDIGO</t>
        </is>
      </c>
      <c r="B5" s="280" t="inlineStr">
        <is>
          <t>1006</t>
        </is>
      </c>
      <c r="C5" s="299" t="n"/>
      <c r="D5" s="299" t="n"/>
      <c r="E5" s="281" t="n"/>
    </row>
    <row r="6" ht="19.5" customHeight="1" s="163">
      <c r="A6" s="279" t="inlineStr">
        <is>
          <t>TELEFONE</t>
        </is>
      </c>
      <c r="B6" s="280" t="inlineStr">
        <is>
          <t>(21) 99352-4970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DUQUE DE CAXIAS</t>
        </is>
      </c>
      <c r="C2" s="299" t="n"/>
      <c r="D2" s="299" t="n"/>
      <c r="E2" s="281" t="n"/>
    </row>
    <row r="3" ht="19.5" customHeight="1" s="163">
      <c r="A3" s="279" t="inlineStr">
        <is>
          <t>BAIRRO</t>
        </is>
      </c>
      <c r="B3" s="280" t="inlineStr">
        <is>
          <t>QUISSAMÃ</t>
        </is>
      </c>
      <c r="C3" s="299" t="n"/>
      <c r="D3" s="299" t="n"/>
      <c r="E3" s="281" t="n"/>
    </row>
    <row r="4" ht="19.5" customHeight="1" s="163">
      <c r="A4" s="279" t="inlineStr">
        <is>
          <t>ENDEREÇO</t>
        </is>
      </c>
      <c r="B4" s="280" t="inlineStr">
        <is>
          <t>TRAVESSA LUCIANO CAMAROTA, 78 - CEP 25615-390</t>
        </is>
      </c>
      <c r="C4" s="299" t="n"/>
      <c r="D4" s="299" t="n"/>
      <c r="E4" s="281" t="n"/>
    </row>
    <row r="5" ht="19.5" customHeight="1" s="163">
      <c r="A5" s="279" t="inlineStr">
        <is>
          <t>CÓDIGO</t>
        </is>
      </c>
      <c r="B5" s="280" t="inlineStr">
        <is>
          <t>1008</t>
        </is>
      </c>
      <c r="C5" s="299" t="n"/>
      <c r="D5" s="299" t="n"/>
      <c r="E5" s="281" t="n"/>
    </row>
    <row r="6" ht="19.5" customHeight="1" s="163">
      <c r="A6" s="279" t="inlineStr">
        <is>
          <t>TELEFONE</t>
        </is>
      </c>
      <c r="B6" s="280" t="inlineStr">
        <is>
          <t>(24) 2247-0070, (24) 98816-4280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LUIZ CARLOS SOARES</t>
        </is>
      </c>
      <c r="C2" s="299" t="n"/>
      <c r="D2" s="299" t="n"/>
      <c r="E2" s="281" t="n"/>
    </row>
    <row r="3" ht="19.5" customHeight="1" s="163">
      <c r="A3" s="279" t="inlineStr">
        <is>
          <t>BAIRRO</t>
        </is>
      </c>
      <c r="B3" s="280" t="inlineStr">
        <is>
          <t>MORIN</t>
        </is>
      </c>
      <c r="C3" s="299" t="n"/>
      <c r="D3" s="299" t="n"/>
      <c r="E3" s="281" t="n"/>
    </row>
    <row r="4" ht="19.5" customHeight="1" s="163">
      <c r="A4" s="279" t="inlineStr">
        <is>
          <t>ENDEREÇO</t>
        </is>
      </c>
      <c r="B4" s="280" t="inlineStr">
        <is>
          <t>RUA EUVALDO LODDI, S/N - CEP 25630-110</t>
        </is>
      </c>
      <c r="C4" s="299" t="n"/>
      <c r="D4" s="299" t="n"/>
      <c r="E4" s="281" t="n"/>
    </row>
    <row r="5" ht="19.5" customHeight="1" s="163">
      <c r="A5" s="279" t="inlineStr">
        <is>
          <t>CÓDIGO</t>
        </is>
      </c>
      <c r="B5" s="280" t="inlineStr">
        <is>
          <t>1009</t>
        </is>
      </c>
      <c r="C5" s="299" t="n"/>
      <c r="D5" s="299" t="n"/>
      <c r="E5" s="281" t="n"/>
    </row>
    <row r="6" ht="19.5" customHeight="1" s="163">
      <c r="A6" s="279" t="inlineStr">
        <is>
          <t>TELEFONE</t>
        </is>
      </c>
      <c r="B6" s="280" t="inlineStr">
        <is>
          <t>(24) 2231-9813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GENERAL HEITOR BORGES</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CAPITÃO CARLOS AGOSTINI, S/N - CEP 25660-100</t>
        </is>
      </c>
      <c r="C4" s="299" t="n"/>
      <c r="D4" s="299" t="n"/>
      <c r="E4" s="281" t="n"/>
    </row>
    <row r="5" ht="19.5" customHeight="1" s="163">
      <c r="A5" s="279" t="inlineStr">
        <is>
          <t>CÓDIGO</t>
        </is>
      </c>
      <c r="B5" s="280" t="inlineStr">
        <is>
          <t>1010</t>
        </is>
      </c>
      <c r="C5" s="299" t="n"/>
      <c r="D5" s="299" t="n"/>
      <c r="E5" s="281" t="n"/>
    </row>
    <row r="6" ht="19.5" customHeight="1" s="163">
      <c r="A6" s="279" t="inlineStr">
        <is>
          <t>TELEFONE</t>
        </is>
      </c>
      <c r="B6" s="280" t="inlineStr">
        <is>
          <t>(24) 2247-8354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JOÃO KOPKE</t>
        </is>
      </c>
      <c r="C2" s="299" t="n"/>
      <c r="D2" s="299" t="n"/>
      <c r="E2" s="281" t="n"/>
    </row>
    <row r="3" ht="19.5" customHeight="1" s="163">
      <c r="A3" s="279" t="inlineStr">
        <is>
          <t>BAIRRO</t>
        </is>
      </c>
      <c r="B3" s="280" t="inlineStr">
        <is>
          <t>FAZENDA INGLESA</t>
        </is>
      </c>
      <c r="C3" s="299" t="n"/>
      <c r="D3" s="299" t="n"/>
      <c r="E3" s="281" t="n"/>
    </row>
    <row r="4" ht="19.5" customHeight="1" s="163">
      <c r="A4" s="279" t="inlineStr">
        <is>
          <t>ENDEREÇO</t>
        </is>
      </c>
      <c r="B4" s="280" t="inlineStr">
        <is>
          <t>ESTRADA DA FAZENDA INGLESA, 4695 - CEP 25670-070</t>
        </is>
      </c>
      <c r="C4" s="299" t="n"/>
      <c r="D4" s="299" t="n"/>
      <c r="E4" s="281" t="n"/>
    </row>
    <row r="5" ht="19.5" customHeight="1" s="163">
      <c r="A5" s="279" t="inlineStr">
        <is>
          <t>CÓDIGO</t>
        </is>
      </c>
      <c r="B5" s="280" t="inlineStr">
        <is>
          <t>1011</t>
        </is>
      </c>
      <c r="C5" s="299" t="n"/>
      <c r="D5" s="299" t="n"/>
      <c r="E5" s="281" t="n"/>
    </row>
    <row r="6" ht="19.5" customHeight="1" s="163">
      <c r="A6" s="279" t="inlineStr">
        <is>
          <t>TELEFONE</t>
        </is>
      </c>
      <c r="B6" s="280" t="inlineStr">
        <is>
          <t>(24) 2245-7626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ODETTE FONSECA</t>
        </is>
      </c>
      <c r="C2" s="299" t="n"/>
      <c r="D2" s="299" t="n"/>
      <c r="E2" s="281" t="n"/>
    </row>
    <row r="3" ht="19.5" customHeight="1" s="163">
      <c r="A3" s="279" t="inlineStr">
        <is>
          <t>BAIRRO</t>
        </is>
      </c>
      <c r="B3" s="280" t="inlineStr">
        <is>
          <t>DUQUES</t>
        </is>
      </c>
      <c r="C3" s="299" t="n"/>
      <c r="D3" s="299" t="n"/>
      <c r="E3" s="281" t="n"/>
    </row>
    <row r="4" ht="19.5" customHeight="1" s="163">
      <c r="A4" s="279" t="inlineStr">
        <is>
          <t>ENDEREÇO</t>
        </is>
      </c>
      <c r="B4" s="280" t="inlineStr">
        <is>
          <t>ESTRADA RIO PETRÓPOLIS KM 85, 5 - CEP 25650-001</t>
        </is>
      </c>
      <c r="C4" s="299" t="n"/>
      <c r="D4" s="299" t="n"/>
      <c r="E4" s="281" t="n"/>
    </row>
    <row r="5" ht="19.5" customHeight="1" s="163">
      <c r="A5" s="279" t="inlineStr">
        <is>
          <t>CÓDIGO</t>
        </is>
      </c>
      <c r="B5" s="280" t="inlineStr">
        <is>
          <t>1013</t>
        </is>
      </c>
      <c r="C5" s="299" t="n"/>
      <c r="D5" s="299" t="n"/>
      <c r="E5" s="281" t="n"/>
    </row>
    <row r="6" ht="19.5" customHeight="1" s="163">
      <c r="A6" s="279" t="inlineStr">
        <is>
          <t>TELEFONE</t>
        </is>
      </c>
      <c r="B6" s="280" t="inlineStr">
        <is>
          <t>(24) 2249-2123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GOVERNADOR MARCELLO ALENCAR</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AMARAL PEIXOTO, S/N - CEP 25651-010</t>
        </is>
      </c>
      <c r="C4" s="299" t="n"/>
      <c r="D4" s="299" t="n"/>
      <c r="E4" s="281" t="n"/>
    </row>
    <row r="5" ht="19.5" customHeight="1" s="163">
      <c r="A5" s="279" t="inlineStr">
        <is>
          <t>CÓDIGO</t>
        </is>
      </c>
      <c r="B5" s="280" t="inlineStr">
        <is>
          <t>1017</t>
        </is>
      </c>
      <c r="C5" s="299" t="n"/>
      <c r="D5" s="299" t="n"/>
      <c r="E5" s="281" t="n"/>
    </row>
    <row r="6" ht="19.5" customHeight="1" s="163">
      <c r="A6" s="279" t="inlineStr">
        <is>
          <t>TELEFONE</t>
        </is>
      </c>
      <c r="B6" s="280" t="inlineStr">
        <is>
          <t>(24) 2245-7780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 JOAQUIM DEISTER</t>
        </is>
      </c>
      <c r="C2" s="299" t="n"/>
      <c r="D2" s="299" t="n"/>
      <c r="E2" s="281" t="n"/>
    </row>
    <row r="3" ht="19.5" customHeight="1" s="163">
      <c r="A3" s="279" t="inlineStr">
        <is>
          <t>BAIRRO</t>
        </is>
      </c>
      <c r="B3" s="280" t="inlineStr">
        <is>
          <t>FLORESTA</t>
        </is>
      </c>
      <c r="C3" s="299" t="n"/>
      <c r="D3" s="299" t="n"/>
      <c r="E3" s="281" t="n"/>
    </row>
    <row r="4" ht="19.5" customHeight="1" s="163">
      <c r="A4" s="279" t="inlineStr">
        <is>
          <t>ENDEREÇO</t>
        </is>
      </c>
      <c r="B4" s="280" t="inlineStr">
        <is>
          <t>RUA DR. JOÃO GLASS VEIGA, 112 - CEP 25615-111</t>
        </is>
      </c>
      <c r="C4" s="299" t="n"/>
      <c r="D4" s="299" t="n"/>
      <c r="E4" s="281" t="n"/>
    </row>
    <row r="5" ht="19.5" customHeight="1" s="163">
      <c r="A5" s="279" t="inlineStr">
        <is>
          <t>CÓDIGO</t>
        </is>
      </c>
      <c r="B5" s="280" t="inlineStr">
        <is>
          <t>1018</t>
        </is>
      </c>
      <c r="C5" s="299" t="n"/>
      <c r="D5" s="299" t="n"/>
      <c r="E5" s="281" t="n"/>
    </row>
    <row r="6" ht="19.5" customHeight="1" s="163">
      <c r="A6" s="279" t="inlineStr">
        <is>
          <t>TELEFONE</t>
        </is>
      </c>
      <c r="B6" s="280" t="inlineStr">
        <is>
          <t>(24) 2242-4760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ROBERT KENNEDY</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RUA CRISTOVÃO COLOMBO, 783 - CEP 25640-322</t>
        </is>
      </c>
      <c r="C4" s="299" t="n"/>
      <c r="D4" s="299" t="n"/>
      <c r="E4" s="281" t="n"/>
    </row>
    <row r="5" ht="19.5" customHeight="1" s="163">
      <c r="A5" s="279" t="inlineStr">
        <is>
          <t>CÓDIGO</t>
        </is>
      </c>
      <c r="B5" s="280" t="inlineStr">
        <is>
          <t>1020</t>
        </is>
      </c>
      <c r="C5" s="299" t="n"/>
      <c r="D5" s="299" t="n"/>
      <c r="E5" s="281" t="n"/>
    </row>
    <row r="6" ht="19.5" customHeight="1" s="163">
      <c r="A6" s="279" t="inlineStr">
        <is>
          <t>TELEFONE</t>
        </is>
      </c>
      <c r="B6" s="280" t="inlineStr">
        <is>
          <t>(24) 2020-8959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ROTARY</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BARÃO DO RIO BRANCO, 1967 - CEP 25680-275</t>
        </is>
      </c>
      <c r="C4" s="299" t="n"/>
      <c r="D4" s="299" t="n"/>
      <c r="E4" s="281" t="n"/>
    </row>
    <row r="5" ht="19.5" customHeight="1" s="163">
      <c r="A5" s="279" t="inlineStr">
        <is>
          <t>CÓDIGO</t>
        </is>
      </c>
      <c r="B5" s="280" t="inlineStr">
        <is>
          <t>1021</t>
        </is>
      </c>
      <c r="C5" s="299" t="n"/>
      <c r="D5" s="299" t="n"/>
      <c r="E5" s="281" t="n"/>
    </row>
    <row r="6" ht="19.5" customHeight="1" s="163">
      <c r="A6" s="279" t="inlineStr">
        <is>
          <t>TELEFONE</t>
        </is>
      </c>
      <c r="B6" s="280" t="inlineStr">
        <is>
          <t>(24) 2244-9148, (24) 98817-7903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ROSALINA NICOLAY</t>
        </is>
      </c>
      <c r="C2" s="299" t="n"/>
      <c r="D2" s="299" t="n"/>
      <c r="E2" s="281" t="n"/>
    </row>
    <row r="3" ht="19.5" customHeight="1" s="163">
      <c r="A3" s="279" t="inlineStr">
        <is>
          <t>BAIRRO</t>
        </is>
      </c>
      <c r="B3" s="280" t="inlineStr">
        <is>
          <t>SIMÉRIA</t>
        </is>
      </c>
      <c r="C3" s="299" t="n"/>
      <c r="D3" s="299" t="n"/>
      <c r="E3" s="281" t="n"/>
    </row>
    <row r="4" ht="19.5" customHeight="1" s="163">
      <c r="A4" s="279" t="inlineStr">
        <is>
          <t>ENDEREÇO</t>
        </is>
      </c>
      <c r="B4" s="280" t="inlineStr">
        <is>
          <t>PRESIDENTE SODRE, 1026 - CEP 25645-026</t>
        </is>
      </c>
      <c r="C4" s="299" t="n"/>
      <c r="D4" s="299" t="n"/>
      <c r="E4" s="281" t="n"/>
    </row>
    <row r="5" ht="19.5" customHeight="1" s="163">
      <c r="A5" s="279" t="inlineStr">
        <is>
          <t>CÓDIGO</t>
        </is>
      </c>
      <c r="B5" s="280" t="inlineStr">
        <is>
          <t>1022</t>
        </is>
      </c>
      <c r="C5" s="299" t="n"/>
      <c r="D5" s="299" t="n"/>
      <c r="E5" s="281" t="n"/>
    </row>
    <row r="6" ht="19.5" customHeight="1" s="163">
      <c r="A6" s="279" t="inlineStr">
        <is>
          <t>TELEFONE</t>
        </is>
      </c>
      <c r="B6" s="280" t="inlineStr">
        <is>
          <t>(24) 2020-2919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DE EDUCAÇÃO ESPECIAL SANTOS DUMONT</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MONTECASEROS, 520 - CEP 25685-080</t>
        </is>
      </c>
      <c r="C4" s="299" t="n"/>
      <c r="D4" s="299" t="n"/>
      <c r="E4" s="281" t="n"/>
    </row>
    <row r="5" ht="19.5" customHeight="1" s="163">
      <c r="A5" s="279" t="inlineStr">
        <is>
          <t>CÓDIGO</t>
        </is>
      </c>
      <c r="B5" s="280" t="inlineStr">
        <is>
          <t>1023</t>
        </is>
      </c>
      <c r="C5" s="299" t="n"/>
      <c r="D5" s="299" t="n"/>
      <c r="E5" s="281" t="n"/>
    </row>
    <row r="6" ht="19.5" customHeight="1" s="163">
      <c r="A6" s="279" t="inlineStr">
        <is>
          <t>TELEFONE</t>
        </is>
      </c>
      <c r="B6" s="280" t="inlineStr">
        <is>
          <t>(24) 2242-5906, (24) 98829-6926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SOROPTIMISTA</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TEOFILO JOSE DA SILVA, S/N - CEP 25670-020</t>
        </is>
      </c>
      <c r="C4" s="299" t="n"/>
      <c r="D4" s="299" t="n"/>
      <c r="E4" s="281" t="n"/>
    </row>
    <row r="5" ht="19.5" customHeight="1" s="163">
      <c r="A5" s="279" t="inlineStr">
        <is>
          <t>CÓDIGO</t>
        </is>
      </c>
      <c r="B5" s="280" t="inlineStr">
        <is>
          <t>1024</t>
        </is>
      </c>
      <c r="C5" s="299" t="n"/>
      <c r="D5" s="299" t="n"/>
      <c r="E5" s="281" t="n"/>
    </row>
    <row r="6" ht="19.5" customHeight="1" s="163">
      <c r="A6" s="279" t="inlineStr">
        <is>
          <t>TELEFONE</t>
        </is>
      </c>
      <c r="B6" s="280" t="inlineStr">
        <is>
          <t>(24) 2246-5708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LICEU MUN PREFEITO CORDOLINO AMBROSIO</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MONTECASEROS, 240 - CEP 25680-004</t>
        </is>
      </c>
      <c r="C4" s="299" t="n"/>
      <c r="D4" s="299" t="n"/>
      <c r="E4" s="281" t="n"/>
    </row>
    <row r="5" ht="19.5" customHeight="1" s="163">
      <c r="A5" s="279" t="inlineStr">
        <is>
          <t>CÓDIGO</t>
        </is>
      </c>
      <c r="B5" s="280" t="inlineStr">
        <is>
          <t>1026</t>
        </is>
      </c>
      <c r="C5" s="299" t="n"/>
      <c r="D5" s="299" t="n"/>
      <c r="E5" s="281" t="n"/>
    </row>
    <row r="6" ht="19.5" customHeight="1" s="163">
      <c r="A6" s="279" t="inlineStr">
        <is>
          <t>TELEFONE</t>
        </is>
      </c>
      <c r="B6" s="280" t="inlineStr">
        <is>
          <t>(24) 2017-9500, (24) 2019-2187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ANTÔNIO LEITE GARCIA</t>
        </is>
      </c>
      <c r="C2" s="299" t="n"/>
      <c r="D2" s="299" t="n"/>
      <c r="E2" s="281" t="n"/>
    </row>
    <row r="3" ht="19.5" customHeight="1" s="163">
      <c r="A3" s="279" t="inlineStr">
        <is>
          <t>BAIRRO</t>
        </is>
      </c>
      <c r="B3" s="280" t="inlineStr">
        <is>
          <t>SAMAMBAIA</t>
        </is>
      </c>
      <c r="C3" s="299" t="n"/>
      <c r="D3" s="299" t="n"/>
      <c r="E3" s="281" t="n"/>
    </row>
    <row r="4" ht="19.5" customHeight="1" s="163">
      <c r="A4" s="279" t="inlineStr">
        <is>
          <t>ENDEREÇO</t>
        </is>
      </c>
      <c r="B4" s="280" t="inlineStr">
        <is>
          <t>ESTRADA DO SAMAMBAIA, 44 - CEP 25710-372</t>
        </is>
      </c>
      <c r="C4" s="299" t="n"/>
      <c r="D4" s="299" t="n"/>
      <c r="E4" s="281" t="n"/>
    </row>
    <row r="5" ht="19.5" customHeight="1" s="163">
      <c r="A5" s="279" t="inlineStr">
        <is>
          <t>CÓDIGO</t>
        </is>
      </c>
      <c r="B5" s="280" t="inlineStr">
        <is>
          <t>1028</t>
        </is>
      </c>
      <c r="C5" s="299" t="n"/>
      <c r="D5" s="299" t="n"/>
      <c r="E5" s="281" t="n"/>
    </row>
    <row r="6" ht="19.5" customHeight="1" s="163">
      <c r="A6" s="279" t="inlineStr">
        <is>
          <t>TELEFONE</t>
        </is>
      </c>
      <c r="B6" s="280" t="inlineStr">
        <is>
          <t>(24) 2280-4336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JORGE AMADO</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ESTRADA DA SAUDADE, 1397 - CEP 25610-351</t>
        </is>
      </c>
      <c r="C4" s="299" t="n"/>
      <c r="D4" s="299" t="n"/>
      <c r="E4" s="281" t="n"/>
    </row>
    <row r="5" ht="19.5" customHeight="1" s="163">
      <c r="A5" s="279" t="inlineStr">
        <is>
          <t>CÓDIGO</t>
        </is>
      </c>
      <c r="B5" s="280" t="inlineStr">
        <is>
          <t>1030</t>
        </is>
      </c>
      <c r="C5" s="299" t="n"/>
      <c r="D5" s="299" t="n"/>
      <c r="E5" s="281" t="n"/>
    </row>
    <row r="6" ht="19.5" customHeight="1" s="163">
      <c r="A6" s="279" t="inlineStr">
        <is>
          <t>TELEFONE</t>
        </is>
      </c>
      <c r="B6" s="280" t="inlineStr">
        <is>
          <t>(24) 2242-1234, (24) 98845-1441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LÚCIA DE ALMEIDA BRAGA</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WALDEMAR VIEIRA AFONSO, 7 - CEP 25715-402</t>
        </is>
      </c>
      <c r="C4" s="299" t="n"/>
      <c r="D4" s="299" t="n"/>
      <c r="E4" s="281" t="n"/>
    </row>
    <row r="5" ht="19.5" customHeight="1" s="163">
      <c r="A5" s="279" t="inlineStr">
        <is>
          <t>CÓDIGO</t>
        </is>
      </c>
      <c r="B5" s="280" t="inlineStr">
        <is>
          <t>1033</t>
        </is>
      </c>
      <c r="C5" s="299" t="n"/>
      <c r="D5" s="299" t="n"/>
      <c r="E5" s="281" t="n"/>
    </row>
    <row r="6" ht="19.5" customHeight="1" s="163">
      <c r="A6" s="279" t="inlineStr">
        <is>
          <t>TELEFONE</t>
        </is>
      </c>
      <c r="B6" s="280" t="inlineStr">
        <is>
          <t>(24) 99218-8513, (24) 2231-4691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MAGDALENA TAGLIAFERRO</t>
        </is>
      </c>
      <c r="C2" s="299" t="n"/>
      <c r="D2" s="299" t="n"/>
      <c r="E2" s="281" t="n"/>
    </row>
    <row r="3" ht="19.5" customHeight="1" s="163">
      <c r="A3" s="279" t="inlineStr">
        <is>
          <t>BAIRRO</t>
        </is>
      </c>
      <c r="B3" s="280" t="inlineStr">
        <is>
          <t>CASTELO SÃO MANOEL</t>
        </is>
      </c>
      <c r="C3" s="299" t="n"/>
      <c r="D3" s="299" t="n"/>
      <c r="E3" s="281" t="n"/>
    </row>
    <row r="4" ht="19.5" customHeight="1" s="163">
      <c r="A4" s="279" t="inlineStr">
        <is>
          <t>ENDEREÇO</t>
        </is>
      </c>
      <c r="B4" s="280" t="inlineStr">
        <is>
          <t>CAPITÃO JOÃO AMÂNCIO DE S.COUTINHO, S/N - CEP 25720-210</t>
        </is>
      </c>
      <c r="C4" s="299" t="n"/>
      <c r="D4" s="299" t="n"/>
      <c r="E4" s="281" t="n"/>
    </row>
    <row r="5" ht="19.5" customHeight="1" s="163">
      <c r="A5" s="279" t="inlineStr">
        <is>
          <t>CÓDIGO</t>
        </is>
      </c>
      <c r="B5" s="280" t="inlineStr">
        <is>
          <t>1034</t>
        </is>
      </c>
      <c r="C5" s="299" t="n"/>
      <c r="D5" s="299" t="n"/>
      <c r="E5" s="281" t="n"/>
    </row>
    <row r="6" ht="19.5" customHeight="1" s="163">
      <c r="A6" s="279" t="inlineStr">
        <is>
          <t>TELEFONE</t>
        </is>
      </c>
      <c r="B6" s="280" t="inlineStr">
        <is>
          <t>(24) 2221-5955, (24) 99255-8706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MAJOR JÚLIO FREDERICO KOELER</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RUA FELIPE CAMARÃO, 374 - CEP 25680-510</t>
        </is>
      </c>
      <c r="C4" s="299" t="n"/>
      <c r="D4" s="299" t="n"/>
      <c r="E4" s="281" t="n"/>
    </row>
    <row r="5" ht="19.5" customHeight="1" s="163">
      <c r="A5" s="279" t="inlineStr">
        <is>
          <t>CÓDIGO</t>
        </is>
      </c>
      <c r="B5" s="280" t="inlineStr">
        <is>
          <t>1035</t>
        </is>
      </c>
      <c r="C5" s="299" t="n"/>
      <c r="D5" s="299" t="n"/>
      <c r="E5" s="281" t="n"/>
    </row>
    <row r="6" ht="19.5" customHeight="1" s="163">
      <c r="A6" s="279" t="inlineStr">
        <is>
          <t>TELEFONE</t>
        </is>
      </c>
      <c r="B6" s="280" t="inlineStr">
        <is>
          <t>(24) 2017-0495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MARIETA GONÇALVES</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RUA NOSSA SENHORA DA GLÓRIA, 1329 - CEP 25720-265</t>
        </is>
      </c>
      <c r="C4" s="299" t="n"/>
      <c r="D4" s="299" t="n"/>
      <c r="E4" s="281" t="n"/>
    </row>
    <row r="5" ht="19.5" customHeight="1" s="163">
      <c r="A5" s="279" t="inlineStr">
        <is>
          <t>CÓDIGO</t>
        </is>
      </c>
      <c r="B5" s="280" t="inlineStr">
        <is>
          <t>1036</t>
        </is>
      </c>
      <c r="C5" s="299" t="n"/>
      <c r="D5" s="299" t="n"/>
      <c r="E5" s="281" t="n"/>
    </row>
    <row r="6" ht="19.5" customHeight="1" s="163">
      <c r="A6" s="279" t="inlineStr">
        <is>
          <t>TELEFONE</t>
        </is>
      </c>
      <c r="B6" s="280" t="inlineStr">
        <is>
          <t>(24) 2221-1839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ODETTE YOUNG MONTEIRO</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ALEXANDRE ALVES ANTUNES, 133 - CEP 25730-005</t>
        </is>
      </c>
      <c r="C4" s="299" t="n"/>
      <c r="D4" s="299" t="n"/>
      <c r="E4" s="281" t="n"/>
    </row>
    <row r="5" ht="19.5" customHeight="1" s="163">
      <c r="A5" s="279" t="inlineStr">
        <is>
          <t>CÓDIGO</t>
        </is>
      </c>
      <c r="B5" s="280" t="inlineStr">
        <is>
          <t>1037</t>
        </is>
      </c>
      <c r="C5" s="299" t="n"/>
      <c r="D5" s="299" t="n"/>
      <c r="E5" s="281" t="n"/>
    </row>
    <row r="6" ht="19.5" customHeight="1" s="163">
      <c r="A6" s="279" t="inlineStr">
        <is>
          <t>TELEFONE</t>
        </is>
      </c>
      <c r="B6" s="280" t="inlineStr">
        <is>
          <t>(24) 99271-6764, (24) 2017-3899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FÁBRICA DO SABER</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MACHADO FAGUNDES, 269 - CEP 25716-001</t>
        </is>
      </c>
      <c r="C4" s="299" t="n"/>
      <c r="D4" s="299" t="n"/>
      <c r="E4" s="281" t="n"/>
    </row>
    <row r="5" ht="19.5" customHeight="1" s="163">
      <c r="A5" s="279" t="inlineStr">
        <is>
          <t>CÓDIGO</t>
        </is>
      </c>
      <c r="B5" s="280" t="inlineStr">
        <is>
          <t>1038</t>
        </is>
      </c>
      <c r="C5" s="299" t="n"/>
      <c r="D5" s="299" t="n"/>
      <c r="E5" s="281" t="n"/>
    </row>
    <row r="6" ht="19.5" customHeight="1" s="163">
      <c r="A6" s="279" t="inlineStr">
        <is>
          <t>TELEFONE</t>
        </is>
      </c>
      <c r="B6" s="280" t="inlineStr">
        <is>
          <t>(24) 2291-6160, (24) 2231-6591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PROFESSOR PAULO MONTE</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ESTRADA BERNARDO COUTINHO, SN - CEP 25725-020</t>
        </is>
      </c>
      <c r="C4" s="299" t="n"/>
      <c r="D4" s="299" t="n"/>
      <c r="E4" s="281" t="n"/>
    </row>
    <row r="5" ht="19.5" customHeight="1" s="163">
      <c r="A5" s="279" t="inlineStr">
        <is>
          <t>CÓDIGO</t>
        </is>
      </c>
      <c r="B5" s="280" t="inlineStr">
        <is>
          <t>1040</t>
        </is>
      </c>
      <c r="C5" s="299" t="n"/>
      <c r="D5" s="299" t="n"/>
      <c r="E5" s="281" t="n"/>
    </row>
    <row r="6" ht="19.5" customHeight="1" s="163">
      <c r="A6" s="279" t="inlineStr">
        <is>
          <t>TELEFONE</t>
        </is>
      </c>
      <c r="B6" s="280" t="inlineStr">
        <is>
          <t>(24) 2291-7383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ROSEMIRA DE OLIVEIRA CAVALCANTI</t>
        </is>
      </c>
      <c r="C2" s="299" t="n"/>
      <c r="D2" s="299" t="n"/>
      <c r="E2" s="281" t="n"/>
    </row>
    <row r="3" ht="19.5" customHeight="1" s="163">
      <c r="A3" s="279" t="inlineStr">
        <is>
          <t>BAIRRO</t>
        </is>
      </c>
      <c r="B3" s="280" t="inlineStr">
        <is>
          <t>ITAMARATI</t>
        </is>
      </c>
      <c r="C3" s="299" t="n"/>
      <c r="D3" s="299" t="n"/>
      <c r="E3" s="281" t="n"/>
    </row>
    <row r="4" ht="19.5" customHeight="1" s="163">
      <c r="A4" s="279" t="inlineStr">
        <is>
          <t>ENDEREÇO</t>
        </is>
      </c>
      <c r="B4" s="280" t="inlineStr">
        <is>
          <t>RUA JOÃO DE FARIAS, S/N - CEP 25710-094</t>
        </is>
      </c>
      <c r="C4" s="299" t="n"/>
      <c r="D4" s="299" t="n"/>
      <c r="E4" s="281" t="n"/>
    </row>
    <row r="5" ht="19.5" customHeight="1" s="163">
      <c r="A5" s="279" t="inlineStr">
        <is>
          <t>CÓDIGO</t>
        </is>
      </c>
      <c r="B5" s="280" t="inlineStr">
        <is>
          <t>1042</t>
        </is>
      </c>
      <c r="C5" s="299" t="n"/>
      <c r="D5" s="299" t="n"/>
      <c r="E5" s="281" t="n"/>
    </row>
    <row r="6" ht="19.5" customHeight="1" s="163">
      <c r="A6" s="279" t="inlineStr">
        <is>
          <t>TELEFONE</t>
        </is>
      </c>
      <c r="B6" s="280" t="inlineStr">
        <is>
          <t>(24) 2242-3013, (24) 98810-0009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AMÉLIA ANTUNES RABELLO</t>
        </is>
      </c>
      <c r="C2" s="299" t="n"/>
      <c r="D2" s="299" t="n"/>
      <c r="E2" s="281" t="n"/>
    </row>
    <row r="3" ht="19.5" customHeight="1" s="163">
      <c r="A3" s="279" t="inlineStr">
        <is>
          <t>BAIRRO</t>
        </is>
      </c>
      <c r="B3" s="280" t="inlineStr">
        <is>
          <t>MADAME MACHADO</t>
        </is>
      </c>
      <c r="C3" s="299" t="n"/>
      <c r="D3" s="299" t="n"/>
      <c r="E3" s="281" t="n"/>
    </row>
    <row r="4" ht="19.5" customHeight="1" s="163">
      <c r="A4" s="279" t="inlineStr">
        <is>
          <t>ENDEREÇO</t>
        </is>
      </c>
      <c r="B4" s="280" t="inlineStr">
        <is>
          <t>RUA JOSÉ DA GAMA MACHADO, S/N - CEP 25745-700</t>
        </is>
      </c>
      <c r="C4" s="299" t="n"/>
      <c r="D4" s="299" t="n"/>
      <c r="E4" s="281" t="n"/>
    </row>
    <row r="5" ht="19.5" customHeight="1" s="163">
      <c r="A5" s="279" t="inlineStr">
        <is>
          <t>CÓDIGO</t>
        </is>
      </c>
      <c r="B5" s="280" t="inlineStr">
        <is>
          <t>1043</t>
        </is>
      </c>
      <c r="C5" s="299" t="n"/>
      <c r="D5" s="299" t="n"/>
      <c r="E5" s="281" t="n"/>
    </row>
    <row r="6" ht="19.5" customHeight="1" s="163">
      <c r="A6" s="279" t="inlineStr">
        <is>
          <t>TELEFONE</t>
        </is>
      </c>
      <c r="B6" s="280" t="inlineStr">
        <is>
          <t>(24) 2222-5113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3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AUGUSTO PUGNALONI</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DO CATOBIRA, S/N - CEP 25740-100</t>
        </is>
      </c>
      <c r="C4" s="299" t="n"/>
      <c r="D4" s="299" t="n"/>
      <c r="E4" s="281" t="n"/>
    </row>
    <row r="5" ht="19.5" customHeight="1" s="163">
      <c r="A5" s="279" t="inlineStr">
        <is>
          <t>CÓDIGO</t>
        </is>
      </c>
      <c r="B5" s="280" t="inlineStr">
        <is>
          <t>1044</t>
        </is>
      </c>
      <c r="C5" s="299" t="n"/>
      <c r="D5" s="299" t="n"/>
      <c r="E5" s="281" t="n"/>
    </row>
    <row r="6" ht="19.5" customHeight="1" s="163">
      <c r="A6" s="279" t="inlineStr">
        <is>
          <t>TELEFONE</t>
        </is>
      </c>
      <c r="B6" s="280" t="inlineStr">
        <is>
          <t>(24) 2246-9103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CELINA SCHECHNER</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UNIÃO INDÚSTRIA, 11976 - CEP 25750-226</t>
        </is>
      </c>
      <c r="C4" s="299" t="n"/>
      <c r="D4" s="299" t="n"/>
      <c r="E4" s="281" t="n"/>
    </row>
    <row r="5" ht="19.5" customHeight="1" s="163">
      <c r="A5" s="279" t="inlineStr">
        <is>
          <t>CÓDIGO</t>
        </is>
      </c>
      <c r="B5" s="280" t="inlineStr">
        <is>
          <t>1045</t>
        </is>
      </c>
      <c r="C5" s="299" t="n"/>
      <c r="D5" s="299" t="n"/>
      <c r="E5" s="281" t="n"/>
    </row>
    <row r="6" ht="19.5" customHeight="1" s="163">
      <c r="A6" s="279" t="inlineStr">
        <is>
          <t>TELEFONE</t>
        </is>
      </c>
      <c r="B6" s="280" t="inlineStr">
        <is>
          <t>(24) 2235-7349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DARCY CORREA DA VEIGA</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CORREA DA VEIGA, 1595 - CEP 25745-260</t>
        </is>
      </c>
      <c r="C4" s="299" t="n"/>
      <c r="D4" s="299" t="n"/>
      <c r="E4" s="281" t="n"/>
    </row>
    <row r="5" ht="19.5" customHeight="1" s="163">
      <c r="A5" s="279" t="inlineStr">
        <is>
          <t>CÓDIGO</t>
        </is>
      </c>
      <c r="B5" s="280" t="inlineStr">
        <is>
          <t>1046</t>
        </is>
      </c>
      <c r="C5" s="299" t="n"/>
      <c r="D5" s="299" t="n"/>
      <c r="E5" s="281" t="n"/>
    </row>
    <row r="6" ht="19.5" customHeight="1" s="163">
      <c r="A6" s="279" t="inlineStr">
        <is>
          <t>TELEFONE</t>
        </is>
      </c>
      <c r="B6" s="280" t="inlineStr">
        <is>
          <t>(24) 99253-0879, (24) 2246-9319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DR PAULA BUARQUE</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 PHILÚVIO CERQUEIRA RODRIGUES-VL CO, KM 2 - CEP 25745-001</t>
        </is>
      </c>
      <c r="C4" s="299" t="n"/>
      <c r="D4" s="299" t="n"/>
      <c r="E4" s="281" t="n"/>
    </row>
    <row r="5" ht="19.5" customHeight="1" s="163">
      <c r="A5" s="279" t="inlineStr">
        <is>
          <t>CÓDIGO</t>
        </is>
      </c>
      <c r="B5" s="280" t="inlineStr">
        <is>
          <t>1048</t>
        </is>
      </c>
      <c r="C5" s="299" t="n"/>
      <c r="D5" s="299" t="n"/>
      <c r="E5" s="281" t="n"/>
    </row>
    <row r="6" ht="19.5" customHeight="1" s="163">
      <c r="A6" s="279" t="inlineStr">
        <is>
          <t>TELEFONE</t>
        </is>
      </c>
      <c r="B6" s="280" t="inlineStr">
        <is>
          <t>(24) 2222-6445, (24) 98821-8414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DR THEODORO MACHADO</t>
        </is>
      </c>
      <c r="C2" s="299" t="n"/>
      <c r="D2" s="299" t="n"/>
      <c r="E2" s="281" t="n"/>
    </row>
    <row r="3" ht="19.5" customHeight="1" s="163">
      <c r="A3" s="279" t="inlineStr">
        <is>
          <t>BAIRRO</t>
        </is>
      </c>
      <c r="B3" s="280" t="inlineStr">
        <is>
          <t>CUIABÁ</t>
        </is>
      </c>
      <c r="C3" s="299" t="n"/>
      <c r="D3" s="299" t="n"/>
      <c r="E3" s="281" t="n"/>
    </row>
    <row r="4" ht="19.5" customHeight="1" s="163">
      <c r="A4" s="279" t="inlineStr">
        <is>
          <t>ENDEREÇO</t>
        </is>
      </c>
      <c r="B4" s="280" t="inlineStr">
        <is>
          <t>ESTRADA MINISTRO SALGADO FILHO, S/N - CEP 25745-690</t>
        </is>
      </c>
      <c r="C4" s="299" t="n"/>
      <c r="D4" s="299" t="n"/>
      <c r="E4" s="281" t="n"/>
    </row>
    <row r="5" ht="19.5" customHeight="1" s="163">
      <c r="A5" s="279" t="inlineStr">
        <is>
          <t>CÓDIGO</t>
        </is>
      </c>
      <c r="B5" s="280" t="inlineStr">
        <is>
          <t>1049</t>
        </is>
      </c>
      <c r="C5" s="299" t="n"/>
      <c r="D5" s="299" t="n"/>
      <c r="E5" s="281" t="n"/>
    </row>
    <row r="6" ht="19.5" customHeight="1" s="163">
      <c r="A6" s="279" t="inlineStr">
        <is>
          <t>TELEFONE</t>
        </is>
      </c>
      <c r="B6" s="280" t="inlineStr">
        <is>
          <t>(24) 2222-9172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ARNALDO DYCKERHOFF</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ARNALDO DYCKERHOFF, 4110 - CEP 25770-130</t>
        </is>
      </c>
      <c r="C4" s="299" t="n"/>
      <c r="D4" s="299" t="n"/>
      <c r="E4" s="281" t="n"/>
    </row>
    <row r="5" ht="19.5" customHeight="1" s="163">
      <c r="A5" s="279" t="inlineStr">
        <is>
          <t>CÓDIGO</t>
        </is>
      </c>
      <c r="B5" s="280" t="inlineStr">
        <is>
          <t>1052</t>
        </is>
      </c>
      <c r="C5" s="299" t="n"/>
      <c r="D5" s="299" t="n"/>
      <c r="E5" s="281" t="n"/>
    </row>
    <row r="6" ht="19.5" customHeight="1" s="163">
      <c r="A6" s="279" t="inlineStr">
        <is>
          <t>TELEFONE</t>
        </is>
      </c>
      <c r="B6" s="280" t="inlineStr">
        <is>
          <t>(24) 2246-9326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CARLOS CANEDO</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UNIÃO INDÚSTRIA, 24681 - CEP 25750-222</t>
        </is>
      </c>
      <c r="C4" s="299" t="n"/>
      <c r="D4" s="299" t="n"/>
      <c r="E4" s="281" t="n"/>
    </row>
    <row r="5" ht="19.5" customHeight="1" s="163">
      <c r="A5" s="279" t="inlineStr">
        <is>
          <t>CÓDIGO</t>
        </is>
      </c>
      <c r="B5" s="280" t="inlineStr">
        <is>
          <t>1055</t>
        </is>
      </c>
      <c r="C5" s="299" t="n"/>
      <c r="D5" s="299" t="n"/>
      <c r="E5" s="281" t="n"/>
    </row>
    <row r="6" ht="19.5" customHeight="1" s="163">
      <c r="A6" s="279" t="inlineStr">
        <is>
          <t>TELEFONE</t>
        </is>
      </c>
      <c r="B6" s="280" t="inlineStr">
        <is>
          <t>(24) 98812-4591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DR BARROS FRANCO</t>
        </is>
      </c>
      <c r="C2" s="299" t="n"/>
      <c r="D2" s="299" t="n"/>
      <c r="E2" s="281" t="n"/>
    </row>
    <row r="3" ht="19.5" customHeight="1" s="163">
      <c r="A3" s="279" t="inlineStr">
        <is>
          <t>BAIRRO</t>
        </is>
      </c>
      <c r="B3" s="280" t="inlineStr">
        <is>
          <t>SECRETÁRIO</t>
        </is>
      </c>
      <c r="C3" s="299" t="n"/>
      <c r="D3" s="299" t="n"/>
      <c r="E3" s="281" t="n"/>
    </row>
    <row r="4" ht="19.5" customHeight="1" s="163">
      <c r="A4" s="279" t="inlineStr">
        <is>
          <t>ENDEREÇO</t>
        </is>
      </c>
      <c r="B4" s="280" t="inlineStr">
        <is>
          <t>ESTRADA DE FAGUNDES, S/N - CEP 25755-090</t>
        </is>
      </c>
      <c r="C4" s="299" t="n"/>
      <c r="D4" s="299" t="n"/>
      <c r="E4" s="281" t="n"/>
    </row>
    <row r="5" ht="19.5" customHeight="1" s="163">
      <c r="A5" s="279" t="inlineStr">
        <is>
          <t>CÓDIGO</t>
        </is>
      </c>
      <c r="B5" s="280" t="inlineStr">
        <is>
          <t>1057</t>
        </is>
      </c>
      <c r="C5" s="299" t="n"/>
      <c r="D5" s="299" t="n"/>
      <c r="E5" s="281" t="n"/>
    </row>
    <row r="6" ht="19.5" customHeight="1" s="163">
      <c r="A6" s="279" t="inlineStr">
        <is>
          <t>TELEFONE</t>
        </is>
      </c>
      <c r="B6" s="280" t="inlineStr">
        <is>
          <t>(24) 98838-3200, (24) 97835-9019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MAJOR THEÓFILO DE CARVALHO</t>
        </is>
      </c>
      <c r="C2" s="299" t="n"/>
      <c r="D2" s="299" t="n"/>
      <c r="E2" s="281" t="n"/>
    </row>
    <row r="3" ht="19.5" customHeight="1" s="163">
      <c r="A3" s="279" t="inlineStr">
        <is>
          <t>BAIRRO</t>
        </is>
      </c>
      <c r="B3" s="280" t="inlineStr">
        <is>
          <t>SECRETÁRIO</t>
        </is>
      </c>
      <c r="C3" s="299" t="n"/>
      <c r="D3" s="299" t="n"/>
      <c r="E3" s="281" t="n"/>
    </row>
    <row r="4" ht="19.5" customHeight="1" s="163">
      <c r="A4" s="279" t="inlineStr">
        <is>
          <t>ENDEREÇO</t>
        </is>
      </c>
      <c r="B4" s="280" t="inlineStr">
        <is>
          <t>ROCINHA, S/N - CEP 25755-340</t>
        </is>
      </c>
      <c r="C4" s="299" t="n"/>
      <c r="D4" s="299" t="n"/>
      <c r="E4" s="281" t="n"/>
    </row>
    <row r="5" ht="19.5" customHeight="1" s="163">
      <c r="A5" s="279" t="inlineStr">
        <is>
          <t>CÓDIGO</t>
        </is>
      </c>
      <c r="B5" s="280" t="inlineStr">
        <is>
          <t>1060</t>
        </is>
      </c>
      <c r="C5" s="299" t="n"/>
      <c r="D5" s="299" t="n"/>
      <c r="E5" s="281" t="n"/>
    </row>
    <row r="6" ht="19.5" customHeight="1" s="163">
      <c r="A6" s="279" t="inlineStr">
        <is>
          <t>TELEFONE</t>
        </is>
      </c>
      <c r="B6" s="280" t="inlineStr">
        <is>
          <t>(24) 2228-1276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TAQUARIL</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RUA MANOEL BATISTA ANDRADE, S/N - CEP 25750-280</t>
        </is>
      </c>
      <c r="C4" s="299" t="n"/>
      <c r="D4" s="299" t="n"/>
      <c r="E4" s="281" t="n"/>
    </row>
    <row r="5" ht="19.5" customHeight="1" s="163">
      <c r="A5" s="279" t="inlineStr">
        <is>
          <t>CÓDIGO</t>
        </is>
      </c>
      <c r="B5" s="280" t="inlineStr">
        <is>
          <t>1065</t>
        </is>
      </c>
      <c r="C5" s="299" t="n"/>
      <c r="D5" s="299" t="n"/>
      <c r="E5" s="281" t="n"/>
    </row>
    <row r="6" ht="19.5" customHeight="1" s="163">
      <c r="A6" s="279" t="inlineStr">
        <is>
          <t>TELEFONE</t>
        </is>
      </c>
      <c r="B6" s="280" t="inlineStr">
        <is>
          <t>(24) 2236-2770, (24) 99206-0546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4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BEATRIZ ZALESKI</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UNIÃO INDÚSTRIA - KM 89, RETA DA POSSE - CEP 25770-000</t>
        </is>
      </c>
      <c r="C4" s="299" t="n"/>
      <c r="D4" s="299" t="n"/>
      <c r="E4" s="281" t="n"/>
    </row>
    <row r="5" ht="19.5" customHeight="1" s="163">
      <c r="A5" s="279" t="inlineStr">
        <is>
          <t>CÓDIGO</t>
        </is>
      </c>
      <c r="B5" s="280" t="inlineStr">
        <is>
          <t>1067</t>
        </is>
      </c>
      <c r="C5" s="299" t="n"/>
      <c r="D5" s="299" t="n"/>
      <c r="E5" s="281" t="n"/>
    </row>
    <row r="6" ht="19.5" customHeight="1" s="163">
      <c r="A6" s="279" t="inlineStr">
        <is>
          <t>TELEFONE</t>
        </is>
      </c>
      <c r="B6" s="280" t="inlineStr">
        <is>
          <t>(24) 2259-2730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ANTÔNIO JOSÉ DE LIMA</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DOS ALBERTOS-BREJAL, S/N - CEP 25770-090</t>
        </is>
      </c>
      <c r="C4" s="299" t="n"/>
      <c r="D4" s="299" t="n"/>
      <c r="E4" s="281" t="n"/>
    </row>
    <row r="5" ht="19.5" customHeight="1" s="163">
      <c r="A5" s="279" t="inlineStr">
        <is>
          <t>CÓDIGO</t>
        </is>
      </c>
      <c r="B5" s="280" t="inlineStr">
        <is>
          <t>1068</t>
        </is>
      </c>
      <c r="C5" s="299" t="n"/>
      <c r="D5" s="299" t="n"/>
      <c r="E5" s="281" t="n"/>
    </row>
    <row r="6" ht="19.5" customHeight="1" s="163">
      <c r="A6" s="279" t="inlineStr">
        <is>
          <t>TELEFONE</t>
        </is>
      </c>
      <c r="B6" s="280" t="inlineStr">
        <is>
          <t>(24) 2241-0984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FELIX WAN ERVEN DE BARROS</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SILVEIRA DA MOTTA, KM 2,5, S/N, KM 4 - CEP 25770-460</t>
        </is>
      </c>
      <c r="C4" s="299" t="n"/>
      <c r="D4" s="299" t="n"/>
      <c r="E4" s="281" t="n"/>
    </row>
    <row r="5" ht="19.5" customHeight="1" s="163">
      <c r="A5" s="279" t="inlineStr">
        <is>
          <t>CÓDIGO</t>
        </is>
      </c>
      <c r="B5" s="280" t="inlineStr">
        <is>
          <t>1069</t>
        </is>
      </c>
      <c r="C5" s="299" t="n"/>
      <c r="D5" s="299" t="n"/>
      <c r="E5" s="281" t="n"/>
    </row>
    <row r="6" ht="19.5" customHeight="1" s="163">
      <c r="A6" s="279" t="inlineStr">
        <is>
          <t>TELEFONE</t>
        </is>
      </c>
      <c r="B6" s="280" t="inlineStr">
        <is>
          <t>(24) 99202-5067, (24) 2246-8797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HILDEBRANDO DE CARVALHO</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SILVEIRA DA MOTTA, KM 2,5, S/N, KM 2,5 - CEP 25770-460</t>
        </is>
      </c>
      <c r="C4" s="299" t="n"/>
      <c r="D4" s="299" t="n"/>
      <c r="E4" s="281" t="n"/>
    </row>
    <row r="5" ht="19.5" customHeight="1" s="163">
      <c r="A5" s="279" t="inlineStr">
        <is>
          <t>CÓDIGO</t>
        </is>
      </c>
      <c r="B5" s="280" t="inlineStr">
        <is>
          <t>1070</t>
        </is>
      </c>
      <c r="C5" s="299" t="n"/>
      <c r="D5" s="299" t="n"/>
      <c r="E5" s="281" t="n"/>
    </row>
    <row r="6" ht="19.5" customHeight="1" s="163">
      <c r="A6" s="279" t="inlineStr">
        <is>
          <t>TELEFONE</t>
        </is>
      </c>
      <c r="B6" s="280" t="inlineStr">
        <is>
          <t>(24) 2246-9123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OSWALDO DA COSTA FRIAS</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DO JURUÁ, N SRA DE FATIMA - CEP 25770-330</t>
        </is>
      </c>
      <c r="C4" s="299" t="n"/>
      <c r="D4" s="299" t="n"/>
      <c r="E4" s="281" t="n"/>
    </row>
    <row r="5" ht="19.5" customHeight="1" s="163">
      <c r="A5" s="279" t="inlineStr">
        <is>
          <t>CÓDIGO</t>
        </is>
      </c>
      <c r="B5" s="280" t="inlineStr">
        <is>
          <t>1073</t>
        </is>
      </c>
      <c r="C5" s="299" t="n"/>
      <c r="D5" s="299" t="n"/>
      <c r="E5" s="281" t="n"/>
    </row>
    <row r="6" ht="19.5" customHeight="1" s="163">
      <c r="A6" s="279" t="inlineStr">
        <is>
          <t>TELEFONE</t>
        </is>
      </c>
      <c r="B6" s="280" t="inlineStr">
        <is>
          <t>(24) 2246-9087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MZDA CARMEM NUNES MARTINS</t>
        </is>
      </c>
      <c r="C2" s="299" t="n"/>
      <c r="D2" s="299" t="n"/>
      <c r="E2" s="281" t="n"/>
    </row>
    <row r="3" ht="19.5" customHeight="1" s="163">
      <c r="A3" s="279" t="inlineStr">
        <is>
          <t>BAIRRO</t>
        </is>
      </c>
      <c r="B3" s="280" t="inlineStr">
        <is>
          <t>ITAMARATI</t>
        </is>
      </c>
      <c r="C3" s="299" t="n"/>
      <c r="D3" s="299" t="n"/>
      <c r="E3" s="281" t="n"/>
    </row>
    <row r="4" ht="19.5" customHeight="1" s="163">
      <c r="A4" s="279" t="inlineStr">
        <is>
          <t>ENDEREÇO</t>
        </is>
      </c>
      <c r="B4" s="280" t="inlineStr">
        <is>
          <t>RUA DR. JOÃO BARCELOS, 687 - CEP 25615-171</t>
        </is>
      </c>
      <c r="C4" s="299" t="n"/>
      <c r="D4" s="299" t="n"/>
      <c r="E4" s="281" t="n"/>
    </row>
    <row r="5" ht="19.5" customHeight="1" s="163">
      <c r="A5" s="279" t="inlineStr">
        <is>
          <t>CÓDIGO</t>
        </is>
      </c>
      <c r="B5" s="280" t="inlineStr">
        <is>
          <t>1075</t>
        </is>
      </c>
      <c r="C5" s="299" t="n"/>
      <c r="D5" s="299" t="n"/>
      <c r="E5" s="281" t="n"/>
    </row>
    <row r="6" ht="19.5" customHeight="1" s="163">
      <c r="A6" s="279" t="inlineStr">
        <is>
          <t>TELEFONE</t>
        </is>
      </c>
      <c r="B6" s="280" t="inlineStr">
        <is>
          <t>(24) 2244-7848, (24) 98815-3826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MZDA AVELINO DE CARVALHO</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DO BREJAL, SBREJAL S/N - CEP 25770-090</t>
        </is>
      </c>
      <c r="C4" s="299" t="n"/>
      <c r="D4" s="299" t="n"/>
      <c r="E4" s="281" t="n"/>
    </row>
    <row r="5" ht="19.5" customHeight="1" s="163">
      <c r="A5" s="279" t="inlineStr">
        <is>
          <t>CÓDIGO</t>
        </is>
      </c>
      <c r="B5" s="280" t="inlineStr">
        <is>
          <t>1076</t>
        </is>
      </c>
      <c r="C5" s="299" t="n"/>
      <c r="D5" s="299" t="n"/>
      <c r="E5" s="281" t="n"/>
    </row>
    <row r="6" ht="19.5" customHeight="1" s="163">
      <c r="A6" s="279" t="inlineStr">
        <is>
          <t>TELEFONE</t>
        </is>
      </c>
      <c r="B6" s="280" t="inlineStr">
        <is>
          <t>(24) 98829-9830, (24) 2246-4278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GERALDO VENTURA DIAS</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ESTRADA VELHA DA ESTRELA, 3100 - CEP 25635-114</t>
        </is>
      </c>
      <c r="C4" s="299" t="n"/>
      <c r="D4" s="299" t="n"/>
      <c r="E4" s="281" t="n"/>
    </row>
    <row r="5" ht="19.5" customHeight="1" s="163">
      <c r="A5" s="279" t="inlineStr">
        <is>
          <t>CÓDIGO</t>
        </is>
      </c>
      <c r="B5" s="280" t="inlineStr">
        <is>
          <t>1078</t>
        </is>
      </c>
      <c r="C5" s="299" t="n"/>
      <c r="D5" s="299" t="n"/>
      <c r="E5" s="281" t="n"/>
    </row>
    <row r="6" ht="19.5" customHeight="1" s="163">
      <c r="A6" s="279" t="inlineStr">
        <is>
          <t>TELEFONE</t>
        </is>
      </c>
      <c r="B6" s="280" t="inlineStr">
        <is>
          <t>(24) 2247-6112, (24) 93300-1607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SALVADOR KLING</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MOSELA, 995 - CEP 25675-016</t>
        </is>
      </c>
      <c r="C4" s="299" t="n"/>
      <c r="D4" s="299" t="n"/>
      <c r="E4" s="281" t="n"/>
    </row>
    <row r="5" ht="19.5" customHeight="1" s="163">
      <c r="A5" s="279" t="inlineStr">
        <is>
          <t>CÓDIGO</t>
        </is>
      </c>
      <c r="B5" s="280" t="inlineStr">
        <is>
          <t>1079</t>
        </is>
      </c>
      <c r="C5" s="299" t="n"/>
      <c r="D5" s="299" t="n"/>
      <c r="E5" s="281" t="n"/>
    </row>
    <row r="6" ht="19.5" customHeight="1" s="163">
      <c r="A6" s="279" t="inlineStr">
        <is>
          <t>TELEFONE</t>
        </is>
      </c>
      <c r="B6" s="280" t="inlineStr">
        <is>
          <t>(24) 2231-3651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PREFEITO JAMIL SABRÁ</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CORONEL VEIGA, 1130 - CEP 25655-171</t>
        </is>
      </c>
      <c r="C4" s="299" t="n"/>
      <c r="D4" s="299" t="n"/>
      <c r="E4" s="281" t="n"/>
    </row>
    <row r="5" ht="19.5" customHeight="1" s="163">
      <c r="A5" s="279" t="inlineStr">
        <is>
          <t>CÓDIGO</t>
        </is>
      </c>
      <c r="B5" s="280" t="inlineStr">
        <is>
          <t>1080</t>
        </is>
      </c>
      <c r="C5" s="299" t="n"/>
      <c r="D5" s="299" t="n"/>
      <c r="E5" s="281" t="n"/>
    </row>
    <row r="6" ht="19.5" customHeight="1" s="163">
      <c r="A6" s="279" t="inlineStr">
        <is>
          <t>TELEFONE</t>
        </is>
      </c>
      <c r="B6" s="280" t="inlineStr">
        <is>
          <t>(24) 2019-0494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5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LICEU MUNICIPAL CARLOS CHAGAS FILHO</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BARÃO DO RIO BRANCO, 2053 - CEP 25680-275</t>
        </is>
      </c>
      <c r="C4" s="299" t="n"/>
      <c r="D4" s="299" t="n"/>
      <c r="E4" s="281" t="n"/>
    </row>
    <row r="5" ht="19.5" customHeight="1" s="163">
      <c r="A5" s="279" t="inlineStr">
        <is>
          <t>CÓDIGO</t>
        </is>
      </c>
      <c r="B5" s="280" t="inlineStr">
        <is>
          <t>1081</t>
        </is>
      </c>
      <c r="C5" s="299" t="n"/>
      <c r="D5" s="299" t="n"/>
      <c r="E5" s="281" t="n"/>
    </row>
    <row r="6" ht="19.5" customHeight="1" s="163">
      <c r="A6" s="279" t="inlineStr">
        <is>
          <t>TELEFONE</t>
        </is>
      </c>
      <c r="B6" s="280" t="inlineStr">
        <is>
          <t>(24) 2242-1062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ANA MOHAMMAD</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ESTRADA DO PARAÍSO, 701 - CEP 25635-410</t>
        </is>
      </c>
      <c r="C4" s="299" t="n"/>
      <c r="D4" s="299" t="n"/>
      <c r="E4" s="281" t="n"/>
    </row>
    <row r="5" ht="19.5" customHeight="1" s="163">
      <c r="A5" s="279" t="inlineStr">
        <is>
          <t>CÓDIGO</t>
        </is>
      </c>
      <c r="B5" s="280" t="inlineStr">
        <is>
          <t>1083</t>
        </is>
      </c>
      <c r="C5" s="299" t="n"/>
      <c r="D5" s="299" t="n"/>
      <c r="E5" s="281" t="n"/>
    </row>
    <row r="6" ht="19.5" customHeight="1" s="163">
      <c r="A6" s="279" t="inlineStr">
        <is>
          <t>TELEFONE</t>
        </is>
      </c>
      <c r="B6" s="280" t="inlineStr">
        <is>
          <t>(24) 2248-6206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ALTO INDEPENDÊNCIA</t>
        </is>
      </c>
      <c r="C2" s="299" t="n"/>
      <c r="D2" s="299" t="n"/>
      <c r="E2" s="281" t="n"/>
    </row>
    <row r="3" ht="19.5" customHeight="1" s="163">
      <c r="A3" s="279" t="inlineStr">
        <is>
          <t>BAIRRO</t>
        </is>
      </c>
      <c r="B3" s="280" t="inlineStr">
        <is>
          <t>ALTO INDEPENDÊNCIA</t>
        </is>
      </c>
      <c r="C3" s="299" t="n"/>
      <c r="D3" s="299" t="n"/>
      <c r="E3" s="281" t="n"/>
    </row>
    <row r="4" ht="19.5" customHeight="1" s="163">
      <c r="A4" s="279" t="inlineStr">
        <is>
          <t>ENDEREÇO</t>
        </is>
      </c>
      <c r="B4" s="280" t="inlineStr">
        <is>
          <t>LEONOR MAIA, 1670 - CEP 25645-420</t>
        </is>
      </c>
      <c r="C4" s="299" t="n"/>
      <c r="D4" s="299" t="n"/>
      <c r="E4" s="281" t="n"/>
    </row>
    <row r="5" ht="19.5" customHeight="1" s="163">
      <c r="A5" s="279" t="inlineStr">
        <is>
          <t>CÓDIGO</t>
        </is>
      </c>
      <c r="B5" s="280" t="inlineStr">
        <is>
          <t>1084</t>
        </is>
      </c>
      <c r="C5" s="299" t="n"/>
      <c r="D5" s="299" t="n"/>
      <c r="E5" s="281" t="n"/>
    </row>
    <row r="6" ht="19.5" customHeight="1" s="163">
      <c r="A6" s="279" t="inlineStr">
        <is>
          <t>TELEFONE</t>
        </is>
      </c>
      <c r="B6" s="280" t="inlineStr">
        <is>
          <t>(24) 2246-9094, (24) 2247-2235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ALMIRANTE TAMANDARÉ</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DR. HERMOGÊNEO SILVA, S/N - CEP 25715-059</t>
        </is>
      </c>
      <c r="C4" s="299" t="n"/>
      <c r="D4" s="299" t="n"/>
      <c r="E4" s="281" t="n"/>
    </row>
    <row r="5" ht="19.5" customHeight="1" s="163">
      <c r="A5" s="279" t="inlineStr">
        <is>
          <t>CÓDIGO</t>
        </is>
      </c>
      <c r="B5" s="280" t="inlineStr">
        <is>
          <t>1085</t>
        </is>
      </c>
      <c r="C5" s="299" t="n"/>
      <c r="D5" s="299" t="n"/>
      <c r="E5" s="281" t="n"/>
    </row>
    <row r="6" ht="19.5" customHeight="1" s="163">
      <c r="A6" s="279" t="inlineStr">
        <is>
          <t>TELEFONE</t>
        </is>
      </c>
      <c r="B6" s="280" t="inlineStr">
        <is>
          <t>(24) 2246-0794, (24) 97400-1730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MUNICIPALIZADA FREI ANICETO</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MOSELA, 1445 - CEP 25675-017</t>
        </is>
      </c>
      <c r="C4" s="299" t="n"/>
      <c r="D4" s="299" t="n"/>
      <c r="E4" s="281" t="n"/>
    </row>
    <row r="5" ht="19.5" customHeight="1" s="163">
      <c r="A5" s="279" t="inlineStr">
        <is>
          <t>CÓDIGO</t>
        </is>
      </c>
      <c r="B5" s="280" t="inlineStr">
        <is>
          <t>1086</t>
        </is>
      </c>
      <c r="C5" s="299" t="n"/>
      <c r="D5" s="299" t="n"/>
      <c r="E5" s="281" t="n"/>
    </row>
    <row r="6" ht="19.5" customHeight="1" s="163">
      <c r="A6" s="279" t="inlineStr">
        <is>
          <t>TELEFONE</t>
        </is>
      </c>
      <c r="B6" s="280" t="inlineStr">
        <is>
          <t>(24) 2291-7304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PEDRO AMADO</t>
        </is>
      </c>
      <c r="C2" s="299" t="n"/>
      <c r="D2" s="299" t="n"/>
      <c r="E2" s="281" t="n"/>
    </row>
    <row r="3" ht="19.5" customHeight="1" s="163">
      <c r="A3" s="279" t="inlineStr">
        <is>
          <t>BAIRRO</t>
        </is>
      </c>
      <c r="B3" s="280" t="inlineStr">
        <is>
          <t>MEIO DA SERRA</t>
        </is>
      </c>
      <c r="C3" s="299" t="n"/>
      <c r="D3" s="299" t="n"/>
      <c r="E3" s="281" t="n"/>
    </row>
    <row r="4" ht="19.5" customHeight="1" s="163">
      <c r="A4" s="279" t="inlineStr">
        <is>
          <t>ENDEREÇO</t>
        </is>
      </c>
      <c r="B4" s="280" t="inlineStr">
        <is>
          <t>ESTRADA VELHA DA ESTRELA, 436 - CEP 25635-114</t>
        </is>
      </c>
      <c r="C4" s="299" t="n"/>
      <c r="D4" s="299" t="n"/>
      <c r="E4" s="281" t="n"/>
    </row>
    <row r="5" ht="19.5" customHeight="1" s="163">
      <c r="A5" s="279" t="inlineStr">
        <is>
          <t>CÓDIGO</t>
        </is>
      </c>
      <c r="B5" s="280" t="inlineStr">
        <is>
          <t>1088</t>
        </is>
      </c>
      <c r="C5" s="299" t="n"/>
      <c r="D5" s="299" t="n"/>
      <c r="E5" s="281" t="n"/>
    </row>
    <row r="6" ht="19.5" customHeight="1" s="163">
      <c r="A6" s="279" t="inlineStr">
        <is>
          <t>TELEFONE</t>
        </is>
      </c>
      <c r="B6" s="280" t="inlineStr">
        <is>
          <t>(24) 2235-1735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PROFª MARIA DA GLÓRIA QUEIROZ DE VASCONCELLOS</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RUA A, S/N - CEP 25645-420</t>
        </is>
      </c>
      <c r="C4" s="299" t="n"/>
      <c r="D4" s="299" t="n"/>
      <c r="E4" s="281" t="n"/>
    </row>
    <row r="5" ht="19.5" customHeight="1" s="163">
      <c r="A5" s="279" t="inlineStr">
        <is>
          <t>CÓDIGO</t>
        </is>
      </c>
      <c r="B5" s="280" t="inlineStr">
        <is>
          <t>1089</t>
        </is>
      </c>
      <c r="C5" s="299" t="n"/>
      <c r="D5" s="299" t="n"/>
      <c r="E5" s="281" t="n"/>
    </row>
    <row r="6" ht="19.5" customHeight="1" s="163">
      <c r="A6" s="279" t="inlineStr">
        <is>
          <t>TELEFONE</t>
        </is>
      </c>
      <c r="B6" s="280" t="inlineStr">
        <is>
          <t>(24) 2291-2476, (24) 2246-5803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SEBASTIÃO LACERDA</t>
        </is>
      </c>
      <c r="C2" s="299" t="n"/>
      <c r="D2" s="299" t="n"/>
      <c r="E2" s="281" t="n"/>
    </row>
    <row r="3" ht="19.5" customHeight="1" s="163">
      <c r="A3" s="279" t="inlineStr">
        <is>
          <t>BAIRRO</t>
        </is>
      </c>
      <c r="B3" s="280" t="inlineStr">
        <is>
          <t>ROCIO</t>
        </is>
      </c>
      <c r="C3" s="299" t="n"/>
      <c r="D3" s="299" t="n"/>
      <c r="E3" s="281" t="n"/>
    </row>
    <row r="4" ht="19.5" customHeight="1" s="163">
      <c r="A4" s="279" t="inlineStr">
        <is>
          <t>ENDEREÇO</t>
        </is>
      </c>
      <c r="B4" s="280" t="inlineStr">
        <is>
          <t>ESTR. DA VARGEM GRANDE, S/N - CEP 25725-621</t>
        </is>
      </c>
      <c r="C4" s="299" t="n"/>
      <c r="D4" s="299" t="n"/>
      <c r="E4" s="281" t="n"/>
    </row>
    <row r="5" ht="19.5" customHeight="1" s="163">
      <c r="A5" s="279" t="inlineStr">
        <is>
          <t>CÓDIGO</t>
        </is>
      </c>
      <c r="B5" s="280" t="inlineStr">
        <is>
          <t>1090</t>
        </is>
      </c>
      <c r="C5" s="299" t="n"/>
      <c r="D5" s="299" t="n"/>
      <c r="E5" s="281" t="n"/>
    </row>
    <row r="6" ht="19.5" customHeight="1" s="163">
      <c r="A6" s="279" t="inlineStr">
        <is>
          <t>TELEFONE</t>
        </is>
      </c>
      <c r="B6" s="280" t="inlineStr">
        <is>
          <t>(24) 2246-8464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PROFESSOR FLÁVIO MACIEL</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AMARAL PEIXOTO, S/N - CEP 25651-010</t>
        </is>
      </c>
      <c r="C4" s="299" t="n"/>
      <c r="D4" s="299" t="n"/>
      <c r="E4" s="281" t="n"/>
    </row>
    <row r="5" ht="19.5" customHeight="1" s="163">
      <c r="A5" s="279" t="inlineStr">
        <is>
          <t>CÓDIGO</t>
        </is>
      </c>
      <c r="B5" s="280" t="inlineStr">
        <is>
          <t>1093</t>
        </is>
      </c>
      <c r="C5" s="299" t="n"/>
      <c r="D5" s="299" t="n"/>
      <c r="E5" s="281" t="n"/>
    </row>
    <row r="6" ht="19.5" customHeight="1" s="163">
      <c r="A6" s="279" t="inlineStr">
        <is>
          <t>TELEFONE</t>
        </is>
      </c>
      <c r="B6" s="280" t="inlineStr">
        <is>
          <t>(24) 2237-2567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PAULO SALDANHA</t>
        </is>
      </c>
      <c r="C2" s="299" t="n"/>
      <c r="D2" s="299" t="n"/>
      <c r="E2" s="281" t="n"/>
    </row>
    <row r="3" ht="19.5" customHeight="1" s="163">
      <c r="A3" s="279" t="inlineStr">
        <is>
          <t>BAIRRO</t>
        </is>
      </c>
      <c r="B3" s="280" t="inlineStr">
        <is>
          <t>ESTRADA DA SAUDADE</t>
        </is>
      </c>
      <c r="C3" s="299" t="n"/>
      <c r="D3" s="299" t="n"/>
      <c r="E3" s="281" t="n"/>
    </row>
    <row r="4" ht="19.5" customHeight="1" s="163">
      <c r="A4" s="279" t="inlineStr">
        <is>
          <t>ENDEREÇO</t>
        </is>
      </c>
      <c r="B4" s="280" t="inlineStr">
        <is>
          <t>ESTRADA DA SAUDADE, S/N PROX AO 941 - CEP 25610-106</t>
        </is>
      </c>
      <c r="C4" s="299" t="n"/>
      <c r="D4" s="299" t="n"/>
      <c r="E4" s="281" t="n"/>
    </row>
    <row r="5" ht="19.5" customHeight="1" s="163">
      <c r="A5" s="279" t="inlineStr">
        <is>
          <t>CÓDIGO</t>
        </is>
      </c>
      <c r="B5" s="280" t="inlineStr">
        <is>
          <t>1094</t>
        </is>
      </c>
      <c r="C5" s="299" t="n"/>
      <c r="D5" s="299" t="n"/>
      <c r="E5" s="281" t="n"/>
    </row>
    <row r="6" ht="19.5" customHeight="1" s="163">
      <c r="A6" s="279" t="inlineStr">
        <is>
          <t>TELEFONE</t>
        </is>
      </c>
      <c r="B6" s="280" t="inlineStr">
        <is>
          <t>(24) 2020-4309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6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PROFESSOR JOSEMAR CONTAGE</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RUA CASTRO ALVES, 80 - CEP 25730-730</t>
        </is>
      </c>
      <c r="C4" s="299" t="n"/>
      <c r="D4" s="299" t="n"/>
      <c r="E4" s="281" t="n"/>
    </row>
    <row r="5" ht="19.5" customHeight="1" s="163">
      <c r="A5" s="279" t="inlineStr">
        <is>
          <t>CÓDIGO</t>
        </is>
      </c>
      <c r="B5" s="280" t="inlineStr">
        <is>
          <t>1095</t>
        </is>
      </c>
      <c r="C5" s="299" t="n"/>
      <c r="D5" s="299" t="n"/>
      <c r="E5" s="281" t="n"/>
    </row>
    <row r="6" ht="19.5" customHeight="1" s="163">
      <c r="A6" s="279" t="inlineStr">
        <is>
          <t>TELEFONE</t>
        </is>
      </c>
      <c r="B6" s="280" t="inlineStr">
        <is>
          <t>(24) 2221-4289, (24) 2236-2433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MONSENHOR CIRILLO CALAON</t>
        </is>
      </c>
      <c r="C2" s="299" t="n"/>
      <c r="D2" s="299" t="n"/>
      <c r="E2" s="281" t="n"/>
    </row>
    <row r="3" ht="19.5" customHeight="1" s="163">
      <c r="A3" s="279" t="inlineStr">
        <is>
          <t>BAIRRO</t>
        </is>
      </c>
      <c r="B3" s="280" t="inlineStr">
        <is>
          <t>JARDIM SALVADOR</t>
        </is>
      </c>
      <c r="C3" s="299" t="n"/>
      <c r="D3" s="299" t="n"/>
      <c r="E3" s="281" t="n"/>
    </row>
    <row r="4" ht="19.5" customHeight="1" s="163">
      <c r="A4" s="279" t="inlineStr">
        <is>
          <t>ENDEREÇO</t>
        </is>
      </c>
      <c r="B4" s="280" t="inlineStr">
        <is>
          <t>RUA AROLDO MANO, S/N - CEP 25720-045</t>
        </is>
      </c>
      <c r="C4" s="299" t="n"/>
      <c r="D4" s="299" t="n"/>
      <c r="E4" s="281" t="n"/>
    </row>
    <row r="5" ht="19.5" customHeight="1" s="163">
      <c r="A5" s="279" t="inlineStr">
        <is>
          <t>CÓDIGO</t>
        </is>
      </c>
      <c r="B5" s="280" t="inlineStr">
        <is>
          <t>1096</t>
        </is>
      </c>
      <c r="C5" s="299" t="n"/>
      <c r="D5" s="299" t="n"/>
      <c r="E5" s="281" t="n"/>
    </row>
    <row r="6" ht="19.5" customHeight="1" s="163">
      <c r="A6" s="279" t="inlineStr">
        <is>
          <t>TELEFONE</t>
        </is>
      </c>
      <c r="B6" s="280" t="inlineStr">
        <is>
          <t>(24) 2291-5163, (24) 2291-5173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AMÉRICO FERNANDES RIBEIRO</t>
        </is>
      </c>
      <c r="C2" s="299" t="n"/>
      <c r="D2" s="299" t="n"/>
      <c r="E2" s="281" t="n"/>
    </row>
    <row r="3" ht="19.5" customHeight="1" s="163">
      <c r="A3" s="279" t="inlineStr">
        <is>
          <t>BAIRRO</t>
        </is>
      </c>
      <c r="B3" s="280" t="inlineStr">
        <is>
          <t>VALE DAS VIDEIRAS</t>
        </is>
      </c>
      <c r="C3" s="299" t="n"/>
      <c r="D3" s="299" t="n"/>
      <c r="E3" s="281" t="n"/>
    </row>
    <row r="4" ht="19.5" customHeight="1" s="163">
      <c r="A4" s="279" t="inlineStr">
        <is>
          <t>ENDEREÇO</t>
        </is>
      </c>
      <c r="B4" s="280" t="inlineStr">
        <is>
          <t>ESTR. ALMIRANTE PAULO MEIRA, 8400 - CEP 25725-029</t>
        </is>
      </c>
      <c r="C4" s="299" t="n"/>
      <c r="D4" s="299" t="n"/>
      <c r="E4" s="281" t="n"/>
    </row>
    <row r="5" ht="19.5" customHeight="1" s="163">
      <c r="A5" s="279" t="inlineStr">
        <is>
          <t>CÓDIGO</t>
        </is>
      </c>
      <c r="B5" s="280" t="inlineStr">
        <is>
          <t>1097</t>
        </is>
      </c>
      <c r="C5" s="299" t="n"/>
      <c r="D5" s="299" t="n"/>
      <c r="E5" s="281" t="n"/>
    </row>
    <row r="6" ht="19.5" customHeight="1" s="163">
      <c r="A6" s="279" t="inlineStr">
        <is>
          <t>TELEFONE</t>
        </is>
      </c>
      <c r="B6" s="280" t="inlineStr">
        <is>
          <t>(24) 3199-0100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PROFª JANDIRA PEIXOTO BORDIGNON</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GETULIO VARGAS, 2200 - CEP 25651-078</t>
        </is>
      </c>
      <c r="C4" s="299" t="n"/>
      <c r="D4" s="299" t="n"/>
      <c r="E4" s="281" t="n"/>
    </row>
    <row r="5" ht="19.5" customHeight="1" s="163">
      <c r="A5" s="279" t="inlineStr">
        <is>
          <t>CÓDIGO</t>
        </is>
      </c>
      <c r="B5" s="280" t="inlineStr">
        <is>
          <t>1098</t>
        </is>
      </c>
      <c r="C5" s="299" t="n"/>
      <c r="D5" s="299" t="n"/>
      <c r="E5" s="281" t="n"/>
    </row>
    <row r="6" ht="19.5" customHeight="1" s="163">
      <c r="A6" s="279" t="inlineStr">
        <is>
          <t>TELEFONE</t>
        </is>
      </c>
      <c r="B6" s="280" t="inlineStr">
        <is>
          <t>(24) 2242-9167, (24) 99270-3951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MONSENHOR JOÃO DE DEUS RODRIGUES</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DR. BARROS FRANCO, S/N - CEP 25750-290</t>
        </is>
      </c>
      <c r="C4" s="299" t="n"/>
      <c r="D4" s="299" t="n"/>
      <c r="E4" s="281" t="n"/>
    </row>
    <row r="5" ht="19.5" customHeight="1" s="163">
      <c r="A5" s="279" t="inlineStr">
        <is>
          <t>CÓDIGO</t>
        </is>
      </c>
      <c r="B5" s="280" t="inlineStr">
        <is>
          <t>1099</t>
        </is>
      </c>
      <c r="C5" s="299" t="n"/>
      <c r="D5" s="299" t="n"/>
      <c r="E5" s="281" t="n"/>
    </row>
    <row r="6" ht="19.5" customHeight="1" s="163">
      <c r="A6" s="279" t="inlineStr">
        <is>
          <t>TELEFONE</t>
        </is>
      </c>
      <c r="B6" s="280" t="inlineStr">
        <is>
          <t>(24) 2223-2857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DOM MANOEL PEDRO DA CUNHA CINTRA</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DR. JACOB BORDIGNOM, S/N - CEP 25715-280</t>
        </is>
      </c>
      <c r="C4" s="299" t="n"/>
      <c r="D4" s="299" t="n"/>
      <c r="E4" s="281" t="n"/>
    </row>
    <row r="5" ht="19.5" customHeight="1" s="163">
      <c r="A5" s="279" t="inlineStr">
        <is>
          <t>CÓDIGO</t>
        </is>
      </c>
      <c r="B5" s="280" t="inlineStr">
        <is>
          <t>1100</t>
        </is>
      </c>
      <c r="C5" s="299" t="n"/>
      <c r="D5" s="299" t="n"/>
      <c r="E5" s="281" t="n"/>
    </row>
    <row r="6" ht="19.5" customHeight="1" s="163">
      <c r="A6" s="279" t="inlineStr">
        <is>
          <t>TELEFONE</t>
        </is>
      </c>
      <c r="B6" s="280" t="inlineStr">
        <is>
          <t>(24) 2017-3542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JOHANN NOEL</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BINGEN, 843 - CEP 25660-003</t>
        </is>
      </c>
      <c r="C4" s="299" t="n"/>
      <c r="D4" s="299" t="n"/>
      <c r="E4" s="281" t="n"/>
    </row>
    <row r="5" ht="19.5" customHeight="1" s="163">
      <c r="A5" s="279" t="inlineStr">
        <is>
          <t>CÓDIGO</t>
        </is>
      </c>
      <c r="B5" s="280" t="inlineStr">
        <is>
          <t>1101</t>
        </is>
      </c>
      <c r="C5" s="299" t="n"/>
      <c r="D5" s="299" t="n"/>
      <c r="E5" s="281" t="n"/>
    </row>
    <row r="6" ht="19.5" customHeight="1" s="163">
      <c r="A6" s="279" t="inlineStr">
        <is>
          <t>TELEFONE</t>
        </is>
      </c>
      <c r="B6" s="280" t="inlineStr">
        <is>
          <t>(24) 2246-9037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MZDA SANTA TEREZINHA</t>
        </is>
      </c>
      <c r="C2" s="299" t="n"/>
      <c r="D2" s="299" t="n"/>
      <c r="E2" s="281" t="n"/>
    </row>
    <row r="3" ht="19.5" customHeight="1" s="163">
      <c r="A3" s="279" t="inlineStr">
        <is>
          <t>BAIRRO</t>
        </is>
      </c>
      <c r="B3" s="280" t="inlineStr">
        <is>
          <t>VILA RICA</t>
        </is>
      </c>
      <c r="C3" s="299" t="n"/>
      <c r="D3" s="299" t="n"/>
      <c r="E3" s="281" t="n"/>
    </row>
    <row r="4" ht="19.5" customHeight="1" s="163">
      <c r="A4" s="279" t="inlineStr">
        <is>
          <t>ENDEREÇO</t>
        </is>
      </c>
      <c r="B4" s="280" t="inlineStr">
        <is>
          <t>RUA C, S/N - CEP 25750-990</t>
        </is>
      </c>
      <c r="C4" s="299" t="n"/>
      <c r="D4" s="299" t="n"/>
      <c r="E4" s="281" t="n"/>
    </row>
    <row r="5" ht="19.5" customHeight="1" s="163">
      <c r="A5" s="279" t="inlineStr">
        <is>
          <t>CÓDIGO</t>
        </is>
      </c>
      <c r="B5" s="280" t="inlineStr">
        <is>
          <t>1102</t>
        </is>
      </c>
      <c r="C5" s="299" t="n"/>
      <c r="D5" s="299" t="n"/>
      <c r="E5" s="281" t="n"/>
    </row>
    <row r="6" ht="19.5" customHeight="1" s="163">
      <c r="A6" s="279" t="inlineStr">
        <is>
          <t>TELEFONE</t>
        </is>
      </c>
      <c r="B6" s="280" t="inlineStr">
        <is>
          <t>(24) 2235-1608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PAPA JOÃO PAULO II</t>
        </is>
      </c>
      <c r="C2" s="299" t="n"/>
      <c r="D2" s="299" t="n"/>
      <c r="E2" s="281" t="n"/>
    </row>
    <row r="3" ht="19.5" customHeight="1" s="163">
      <c r="A3" s="279" t="inlineStr">
        <is>
          <t>BAIRRO</t>
        </is>
      </c>
      <c r="B3" s="280" t="inlineStr">
        <is>
          <t>SÃO SEBASTIÃO</t>
        </is>
      </c>
      <c r="C3" s="299" t="n"/>
      <c r="D3" s="299" t="n"/>
      <c r="E3" s="281" t="n"/>
    </row>
    <row r="4" ht="19.5" customHeight="1" s="163">
      <c r="A4" s="279" t="inlineStr">
        <is>
          <t>ENDEREÇO</t>
        </is>
      </c>
      <c r="B4" s="280" t="inlineStr">
        <is>
          <t>SÃO SEBASTIÃO, 625 - CEP 25645-045</t>
        </is>
      </c>
      <c r="C4" s="299" t="n"/>
      <c r="D4" s="299" t="n"/>
      <c r="E4" s="281" t="n"/>
    </row>
    <row r="5" ht="19.5" customHeight="1" s="163">
      <c r="A5" s="279" t="inlineStr">
        <is>
          <t>CÓDIGO</t>
        </is>
      </c>
      <c r="B5" s="280" t="inlineStr">
        <is>
          <t>1103</t>
        </is>
      </c>
      <c r="C5" s="299" t="n"/>
      <c r="D5" s="299" t="n"/>
      <c r="E5" s="281" t="n"/>
    </row>
    <row r="6" ht="19.5" customHeight="1" s="163">
      <c r="A6" s="279" t="inlineStr">
        <is>
          <t>TELEFONE</t>
        </is>
      </c>
      <c r="B6" s="280" t="inlineStr">
        <is>
          <t>(24) 2291-2244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STEFAN ZWEIG</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SERGIPE, 49 - CEP 25730-710</t>
        </is>
      </c>
      <c r="C4" s="299" t="n"/>
      <c r="D4" s="299" t="n"/>
      <c r="E4" s="281" t="n"/>
    </row>
    <row r="5" ht="19.5" customHeight="1" s="163">
      <c r="A5" s="279" t="inlineStr">
        <is>
          <t>CÓDIGO</t>
        </is>
      </c>
      <c r="B5" s="280" t="inlineStr">
        <is>
          <t>1105</t>
        </is>
      </c>
      <c r="C5" s="299" t="n"/>
      <c r="D5" s="299" t="n"/>
      <c r="E5" s="281" t="n"/>
    </row>
    <row r="6" ht="19.5" customHeight="1" s="163">
      <c r="A6" s="279" t="inlineStr">
        <is>
          <t>TELEFONE</t>
        </is>
      </c>
      <c r="B6" s="280" t="inlineStr">
        <is>
          <t>(24) 2245-6737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7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SENADOR MARIO MARTINS</t>
        </is>
      </c>
      <c r="C2" s="299" t="n"/>
      <c r="D2" s="299" t="n"/>
      <c r="E2" s="281" t="n"/>
    </row>
    <row r="3" ht="19.5" customHeight="1" s="163">
      <c r="A3" s="279" t="inlineStr">
        <is>
          <t>BAIRRO</t>
        </is>
      </c>
      <c r="B3" s="280" t="inlineStr">
        <is>
          <t>CAXAMBU</t>
        </is>
      </c>
      <c r="C3" s="299" t="n"/>
      <c r="D3" s="299" t="n"/>
      <c r="E3" s="281" t="n"/>
    </row>
    <row r="4" ht="19.5" customHeight="1" s="163">
      <c r="A4" s="279" t="inlineStr">
        <is>
          <t>ENDEREÇO</t>
        </is>
      </c>
      <c r="B4" s="280" t="inlineStr">
        <is>
          <t>RUA FLAVIO CAVALCANTI, S/N - CEP 25615-060</t>
        </is>
      </c>
      <c r="C4" s="299" t="n"/>
      <c r="D4" s="299" t="n"/>
      <c r="E4" s="281" t="n"/>
    </row>
    <row r="5" ht="19.5" customHeight="1" s="163">
      <c r="A5" s="279" t="inlineStr">
        <is>
          <t>CÓDIGO</t>
        </is>
      </c>
      <c r="B5" s="280" t="inlineStr">
        <is>
          <t>1106</t>
        </is>
      </c>
      <c r="C5" s="299" t="n"/>
      <c r="D5" s="299" t="n"/>
      <c r="E5" s="281" t="n"/>
    </row>
    <row r="6" ht="19.5" customHeight="1" s="163">
      <c r="A6" s="279" t="inlineStr">
        <is>
          <t>TELEFONE</t>
        </is>
      </c>
      <c r="B6" s="280" t="inlineStr">
        <is>
          <t>(24) 2235-5478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DR RUBENS DE CASTRO BOMTEMPO</t>
        </is>
      </c>
      <c r="C2" s="299" t="n"/>
      <c r="D2" s="299" t="n"/>
      <c r="E2" s="281" t="n"/>
    </row>
    <row r="3" ht="19.5" customHeight="1" s="163">
      <c r="A3" s="279" t="inlineStr">
        <is>
          <t>BAIRRO</t>
        </is>
      </c>
      <c r="B3" s="280" t="inlineStr">
        <is>
          <t>CHÁCARA FLORA</t>
        </is>
      </c>
      <c r="C3" s="299" t="n"/>
      <c r="D3" s="299" t="n"/>
      <c r="E3" s="281" t="n"/>
    </row>
    <row r="4" ht="19.5" customHeight="1" s="163">
      <c r="A4" s="279" t="inlineStr">
        <is>
          <t>ENDEREÇO</t>
        </is>
      </c>
      <c r="B4" s="280" t="inlineStr">
        <is>
          <t>PERMINIO SCHMITH, S/N - CEP 25635-370</t>
        </is>
      </c>
      <c r="C4" s="299" t="n"/>
      <c r="D4" s="299" t="n"/>
      <c r="E4" s="281" t="n"/>
    </row>
    <row r="5" ht="19.5" customHeight="1" s="163">
      <c r="A5" s="279" t="inlineStr">
        <is>
          <t>CÓDIGO</t>
        </is>
      </c>
      <c r="B5" s="280" t="inlineStr">
        <is>
          <t>1107</t>
        </is>
      </c>
      <c r="C5" s="299" t="n"/>
      <c r="D5" s="299" t="n"/>
      <c r="E5" s="281" t="n"/>
    </row>
    <row r="6" ht="19.5" customHeight="1" s="163">
      <c r="A6" s="279" t="inlineStr">
        <is>
          <t>TELEFONE</t>
        </is>
      </c>
      <c r="B6" s="280" t="inlineStr">
        <is>
          <t>(24) 2246-0113, (24) 2245-8732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PAULO FREIRE</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BUARQUE DE MACEDO, 53 - CEP 25625-290</t>
        </is>
      </c>
      <c r="C4" s="299" t="n"/>
      <c r="D4" s="299" t="n"/>
      <c r="E4" s="281" t="n"/>
    </row>
    <row r="5" ht="19.5" customHeight="1" s="163">
      <c r="A5" s="279" t="inlineStr">
        <is>
          <t>CÓDIGO</t>
        </is>
      </c>
      <c r="B5" s="280" t="inlineStr">
        <is>
          <t>1108</t>
        </is>
      </c>
      <c r="C5" s="299" t="n"/>
      <c r="D5" s="299" t="n"/>
      <c r="E5" s="281" t="n"/>
    </row>
    <row r="6" ht="19.5" customHeight="1" s="163">
      <c r="A6" s="279" t="inlineStr">
        <is>
          <t>TELEFONE</t>
        </is>
      </c>
      <c r="B6" s="280" t="inlineStr">
        <is>
          <t>(24) 2246-1790, (24) 99258-1541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PROFª MARIA CAMPOS DA SILVA</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BUENOS AIRES, 108 - CEP 25610-141</t>
        </is>
      </c>
      <c r="C4" s="299" t="n"/>
      <c r="D4" s="299" t="n"/>
      <c r="E4" s="281" t="n"/>
    </row>
    <row r="5" ht="19.5" customHeight="1" s="163">
      <c r="A5" s="279" t="inlineStr">
        <is>
          <t>CÓDIGO</t>
        </is>
      </c>
      <c r="B5" s="280" t="inlineStr">
        <is>
          <t>1109</t>
        </is>
      </c>
      <c r="C5" s="299" t="n"/>
      <c r="D5" s="299" t="n"/>
      <c r="E5" s="281" t="n"/>
    </row>
    <row r="6" ht="19.5" customHeight="1" s="163">
      <c r="A6" s="279" t="inlineStr">
        <is>
          <t>TELEFONE</t>
        </is>
      </c>
      <c r="B6" s="280" t="inlineStr">
        <is>
          <t>(24) 2246-8649, (24) 2231-6398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HERCÍLIA HENRIQUES MORET</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RUA VIGÁRIO CORRÊA, 238 - CEP 25720-322</t>
        </is>
      </c>
      <c r="C4" s="299" t="n"/>
      <c r="D4" s="299" t="n"/>
      <c r="E4" s="281" t="n"/>
    </row>
    <row r="5" ht="19.5" customHeight="1" s="163">
      <c r="A5" s="279" t="inlineStr">
        <is>
          <t>CÓDIGO</t>
        </is>
      </c>
      <c r="B5" s="280" t="inlineStr">
        <is>
          <t>1110</t>
        </is>
      </c>
      <c r="C5" s="299" t="n"/>
      <c r="D5" s="299" t="n"/>
      <c r="E5" s="281" t="n"/>
    </row>
    <row r="6" ht="19.5" customHeight="1" s="163">
      <c r="A6" s="279" t="inlineStr">
        <is>
          <t>TELEFONE</t>
        </is>
      </c>
      <c r="B6" s="280" t="inlineStr">
        <is>
          <t>(24) 2221-1922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MUNICIPALIZADA MOYSÉS FURTADO BRAVO</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PRAÇA FLÁVIO CASTRIOTO, S/N - CEP 25770-200</t>
        </is>
      </c>
      <c r="C4" s="299" t="n"/>
      <c r="D4" s="299" t="n"/>
      <c r="E4" s="281" t="n"/>
    </row>
    <row r="5" ht="19.5" customHeight="1" s="163">
      <c r="A5" s="279" t="inlineStr">
        <is>
          <t>CÓDIGO</t>
        </is>
      </c>
      <c r="B5" s="280" t="inlineStr">
        <is>
          <t>1111</t>
        </is>
      </c>
      <c r="C5" s="299" t="n"/>
      <c r="D5" s="299" t="n"/>
      <c r="E5" s="281" t="n"/>
    </row>
    <row r="6" ht="19.5" customHeight="1" s="163">
      <c r="A6" s="279" t="inlineStr">
        <is>
          <t>TELEFONE</t>
        </is>
      </c>
      <c r="B6" s="280" t="inlineStr">
        <is>
          <t>(24) 2221-4030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CIEP BRIZOLÃO 474 MAESTRO GUERRA PEIXE - MUNICIPALIZADO</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BERNARDO PROENÇA, 809 - CEP 25710-082</t>
        </is>
      </c>
      <c r="C4" s="299" t="n"/>
      <c r="D4" s="299" t="n"/>
      <c r="E4" s="281" t="n"/>
    </row>
    <row r="5" ht="19.5" customHeight="1" s="163">
      <c r="A5" s="279" t="inlineStr">
        <is>
          <t>CÓDIGO</t>
        </is>
      </c>
      <c r="B5" s="280" t="inlineStr">
        <is>
          <t>1112</t>
        </is>
      </c>
      <c r="C5" s="299" t="n"/>
      <c r="D5" s="299" t="n"/>
      <c r="E5" s="281" t="n"/>
    </row>
    <row r="6" ht="19.5" customHeight="1" s="163">
      <c r="A6" s="279" t="inlineStr">
        <is>
          <t>TELEFONE</t>
        </is>
      </c>
      <c r="B6" s="280" t="inlineStr">
        <is>
          <t>(24) 2237-9893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ENSINO PROF DARCY RIBEIRO</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MACHADO FAGUNDES, 326 - CEP 25761-001</t>
        </is>
      </c>
      <c r="C4" s="299" t="n"/>
      <c r="D4" s="299" t="n"/>
      <c r="E4" s="281" t="n"/>
    </row>
    <row r="5" ht="19.5" customHeight="1" s="163">
      <c r="A5" s="279" t="inlineStr">
        <is>
          <t>CÓDIGO</t>
        </is>
      </c>
      <c r="B5" s="280" t="inlineStr">
        <is>
          <t>1113</t>
        </is>
      </c>
      <c r="C5" s="299" t="n"/>
      <c r="D5" s="299" t="n"/>
      <c r="E5" s="281" t="n"/>
    </row>
    <row r="6" ht="19.5" customHeight="1" s="163">
      <c r="A6" s="279" t="inlineStr">
        <is>
          <t>TELEFONE</t>
        </is>
      </c>
      <c r="B6" s="280" t="inlineStr">
        <is>
          <t>(24) 2246-2392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CASA DA EDUCAÇÃO VISCONDE DE MAUÁ</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BARÃO DO RIO BRANCO, 3 - CEP 25680-150</t>
        </is>
      </c>
      <c r="C4" s="299" t="n"/>
      <c r="D4" s="299" t="n"/>
      <c r="E4" s="281" t="n"/>
    </row>
    <row r="5" ht="19.5" customHeight="1" s="163">
      <c r="A5" s="279" t="inlineStr">
        <is>
          <t>CÓDIGO</t>
        </is>
      </c>
      <c r="B5" s="280" t="inlineStr">
        <is>
          <t>1114</t>
        </is>
      </c>
      <c r="C5" s="299" t="n"/>
      <c r="D5" s="299" t="n"/>
      <c r="E5" s="281" t="n"/>
    </row>
    <row r="6" ht="19.5" customHeight="1" s="163">
      <c r="A6" s="279" t="inlineStr">
        <is>
          <t>TELEFONE</t>
        </is>
      </c>
      <c r="B6" s="280" t="inlineStr">
        <is>
          <t>(24) 2246-8661, (24) 2291-3799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REFERÊNCIA EM EDUCAÇÃO INCLUSIVA JOÃO PEDRO DE SOUZA ROSA</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BUENOS AIRES, 155 - CEP 25685-350</t>
        </is>
      </c>
      <c r="C4" s="299" t="n"/>
      <c r="D4" s="299" t="n"/>
      <c r="E4" s="281" t="n"/>
    </row>
    <row r="5" ht="19.5" customHeight="1" s="163">
      <c r="A5" s="279" t="inlineStr">
        <is>
          <t>CÓDIGO</t>
        </is>
      </c>
      <c r="B5" s="280" t="inlineStr">
        <is>
          <t>1115</t>
        </is>
      </c>
      <c r="C5" s="299" t="n"/>
      <c r="D5" s="299" t="n"/>
      <c r="E5" s="281" t="n"/>
    </row>
    <row r="6" ht="19.5" customHeight="1" s="163">
      <c r="A6" s="279" t="inlineStr">
        <is>
          <t>TELEFONE</t>
        </is>
      </c>
      <c r="B6" s="280" t="inlineStr">
        <is>
          <t>(24) 2242-9531, (24) 2246-3169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8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 M PROF NILTON COSTA PEREIRA DE SÃO THIAGO</t>
        </is>
      </c>
      <c r="C2" s="299" t="n"/>
      <c r="D2" s="299" t="n"/>
      <c r="E2" s="281" t="n"/>
    </row>
    <row r="3" ht="19.5" customHeight="1" s="163">
      <c r="A3" s="279" t="inlineStr">
        <is>
          <t>BAIRRO</t>
        </is>
      </c>
      <c r="B3" s="280" t="inlineStr">
        <is>
          <t>NOGUEIRA</t>
        </is>
      </c>
      <c r="C3" s="299" t="n"/>
      <c r="D3" s="299" t="n"/>
      <c r="E3" s="281" t="n"/>
    </row>
    <row r="4" ht="19.5" customHeight="1" s="163">
      <c r="A4" s="279" t="inlineStr">
        <is>
          <t>ENDEREÇO</t>
        </is>
      </c>
      <c r="B4" s="280" t="inlineStr">
        <is>
          <t>AV.LEOPOLDINA, 561 - CEP 25730-203</t>
        </is>
      </c>
      <c r="C4" s="299" t="n"/>
      <c r="D4" s="299" t="n"/>
      <c r="E4" s="281" t="n"/>
    </row>
    <row r="5" ht="19.5" customHeight="1" s="163">
      <c r="A5" s="279" t="inlineStr">
        <is>
          <t>CÓDIGO</t>
        </is>
      </c>
      <c r="B5" s="280" t="inlineStr">
        <is>
          <t>1116</t>
        </is>
      </c>
      <c r="C5" s="299" t="n"/>
      <c r="D5" s="299" t="n"/>
      <c r="E5" s="281" t="n"/>
    </row>
    <row r="6" ht="19.5" customHeight="1" s="163">
      <c r="A6" s="279" t="inlineStr">
        <is>
          <t>TELEFONE</t>
        </is>
      </c>
      <c r="B6" s="280" t="inlineStr">
        <is>
          <t>(24) 2221-4724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COLÉGIO GUNNAR VINGREN DE PETRÓPOLIS</t>
        </is>
      </c>
      <c r="C2" s="299" t="n"/>
      <c r="D2" s="299" t="n"/>
      <c r="E2" s="281" t="n"/>
    </row>
    <row r="3" ht="19.5" customHeight="1" s="163">
      <c r="A3" s="279" t="inlineStr">
        <is>
          <t>BAIRRO</t>
        </is>
      </c>
      <c r="B3" s="280" t="inlineStr">
        <is>
          <t>VALPARAÍSO</t>
        </is>
      </c>
      <c r="C3" s="299" t="n"/>
      <c r="D3" s="299" t="n"/>
      <c r="E3" s="281" t="n"/>
    </row>
    <row r="4" ht="19.5" customHeight="1" s="163">
      <c r="A4" s="279" t="inlineStr">
        <is>
          <t>ENDEREÇO</t>
        </is>
      </c>
      <c r="B4" s="280" t="inlineStr">
        <is>
          <t>RUA PADRE MOREIRA, 65 - CEP 25685-132</t>
        </is>
      </c>
      <c r="C4" s="299" t="n"/>
      <c r="D4" s="299" t="n"/>
      <c r="E4" s="281" t="n"/>
    </row>
    <row r="5" ht="19.5" customHeight="1" s="163">
      <c r="A5" s="279" t="inlineStr">
        <is>
          <t>CÓDIGO</t>
        </is>
      </c>
      <c r="B5" s="280" t="inlineStr">
        <is>
          <t>1117</t>
        </is>
      </c>
      <c r="C5" s="299" t="n"/>
      <c r="D5" s="299" t="n"/>
      <c r="E5" s="281" t="n"/>
    </row>
    <row r="6" ht="19.5" customHeight="1" s="163">
      <c r="A6" s="279" t="inlineStr">
        <is>
          <t>TELEFONE</t>
        </is>
      </c>
      <c r="B6" s="280" t="inlineStr">
        <is>
          <t>(24) 2249-2781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REFERÊNCIA EM EDUCAÇÃO INCLUSIVA ALINE DE SOUZA CORREA</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RUA EUGENIO ZANATTA, 247 - CEP 25750-300</t>
        </is>
      </c>
      <c r="C4" s="299" t="n"/>
      <c r="D4" s="299" t="n"/>
      <c r="E4" s="281" t="n"/>
    </row>
    <row r="5" ht="19.5" customHeight="1" s="163">
      <c r="A5" s="279" t="inlineStr">
        <is>
          <t>CÓDIGO</t>
        </is>
      </c>
      <c r="B5" s="280" t="inlineStr">
        <is>
          <t>1119</t>
        </is>
      </c>
      <c r="C5" s="299" t="n"/>
      <c r="D5" s="299" t="n"/>
      <c r="E5" s="281" t="n"/>
    </row>
    <row r="6" ht="19.5" customHeight="1" s="163">
      <c r="A6" s="279" t="inlineStr">
        <is>
          <t>TELEFONE</t>
        </is>
      </c>
      <c r="B6" s="280" t="inlineStr">
        <is>
          <t>(24) 2246-6577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SANTA LUIZA DE MARILLAC</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BUENOS AIRES, 71 - CEP 25610-141</t>
        </is>
      </c>
      <c r="C4" s="299" t="n"/>
      <c r="D4" s="299" t="n"/>
      <c r="E4" s="281" t="n"/>
    </row>
    <row r="5" ht="19.5" customHeight="1" s="163">
      <c r="A5" s="279" t="inlineStr">
        <is>
          <t>CÓDIGO</t>
        </is>
      </c>
      <c r="B5" s="280" t="inlineStr">
        <is>
          <t>1120</t>
        </is>
      </c>
      <c r="C5" s="299" t="n"/>
      <c r="D5" s="299" t="n"/>
      <c r="E5" s="281" t="n"/>
    </row>
    <row r="6" ht="19.5" customHeight="1" s="163">
      <c r="A6" s="279" t="inlineStr">
        <is>
          <t>TELEFONE</t>
        </is>
      </c>
      <c r="B6" s="280" t="inlineStr">
        <is>
          <t>(24) 2244-9546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EDUCACIONAL COMUNIDADE SÃO JORGE</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RUA LEONOR MAIA, 99 - CEP 25645-420</t>
        </is>
      </c>
      <c r="C4" s="299" t="n"/>
      <c r="D4" s="299" t="n"/>
      <c r="E4" s="281" t="n"/>
    </row>
    <row r="5" ht="19.5" customHeight="1" s="163">
      <c r="A5" s="279" t="inlineStr">
        <is>
          <t>CÓDIGO</t>
        </is>
      </c>
      <c r="B5" s="280" t="inlineStr">
        <is>
          <t>2002</t>
        </is>
      </c>
      <c r="C5" s="299" t="n"/>
      <c r="D5" s="299" t="n"/>
      <c r="E5" s="281" t="n"/>
    </row>
    <row r="6" ht="19.5" customHeight="1" s="163">
      <c r="A6" s="279" t="inlineStr">
        <is>
          <t>TELEFONE</t>
        </is>
      </c>
      <c r="B6" s="280" t="inlineStr">
        <is>
          <t>(24) 99221-5056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EDUCANDÁRIO TERRA SANTA</t>
        </is>
      </c>
      <c r="C2" s="299" t="n"/>
      <c r="D2" s="299" t="n"/>
      <c r="E2" s="281" t="n"/>
    </row>
    <row r="3" ht="19.5" customHeight="1" s="163">
      <c r="A3" s="279" t="inlineStr">
        <is>
          <t>BAIRRO</t>
        </is>
      </c>
      <c r="B3" s="280" t="inlineStr">
        <is>
          <t>VALPARAÍSO</t>
        </is>
      </c>
      <c r="C3" s="299" t="n"/>
      <c r="D3" s="299" t="n"/>
      <c r="E3" s="281" t="n"/>
    </row>
    <row r="4" ht="19.5" customHeight="1" s="163">
      <c r="A4" s="279" t="inlineStr">
        <is>
          <t>ENDEREÇO</t>
        </is>
      </c>
      <c r="B4" s="280" t="inlineStr">
        <is>
          <t>RUA MONSENHOR BACELAR, 590 - CEP 25685-113</t>
        </is>
      </c>
      <c r="C4" s="299" t="n"/>
      <c r="D4" s="299" t="n"/>
      <c r="E4" s="281" t="n"/>
    </row>
    <row r="5" ht="19.5" customHeight="1" s="163">
      <c r="A5" s="279" t="inlineStr">
        <is>
          <t>CÓDIGO</t>
        </is>
      </c>
      <c r="B5" s="280" t="inlineStr">
        <is>
          <t>2005</t>
        </is>
      </c>
      <c r="C5" s="299" t="n"/>
      <c r="D5" s="299" t="n"/>
      <c r="E5" s="281" t="n"/>
    </row>
    <row r="6" ht="19.5" customHeight="1" s="163">
      <c r="A6" s="279" t="inlineStr">
        <is>
          <t>TELEFONE</t>
        </is>
      </c>
      <c r="B6" s="280" t="inlineStr">
        <is>
          <t>(24) 2245-3474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GERMANO VALENTE</t>
        </is>
      </c>
      <c r="C2" s="299" t="n"/>
      <c r="D2" s="299" t="n"/>
      <c r="E2" s="281" t="n"/>
    </row>
    <row r="3" ht="19.5" customHeight="1" s="163">
      <c r="A3" s="279" t="inlineStr">
        <is>
          <t>BAIRRO</t>
        </is>
      </c>
      <c r="B3" s="280" t="inlineStr">
        <is>
          <t>MORIN</t>
        </is>
      </c>
      <c r="C3" s="299" t="n"/>
      <c r="D3" s="299" t="n"/>
      <c r="E3" s="281" t="n"/>
    </row>
    <row r="4" ht="19.5" customHeight="1" s="163">
      <c r="A4" s="279" t="inlineStr">
        <is>
          <t>ENDEREÇO</t>
        </is>
      </c>
      <c r="B4" s="280" t="inlineStr">
        <is>
          <t>RUA DR. SÁ EARP, 88 - CEP 25625-073</t>
        </is>
      </c>
      <c r="C4" s="299" t="n"/>
      <c r="D4" s="299" t="n"/>
      <c r="E4" s="281" t="n"/>
    </row>
    <row r="5" ht="19.5" customHeight="1" s="163">
      <c r="A5" s="279" t="inlineStr">
        <is>
          <t>CÓDIGO</t>
        </is>
      </c>
      <c r="B5" s="280" t="inlineStr">
        <is>
          <t>2008</t>
        </is>
      </c>
      <c r="C5" s="299" t="n"/>
      <c r="D5" s="299" t="n"/>
      <c r="E5" s="281" t="n"/>
    </row>
    <row r="6" ht="19.5" customHeight="1" s="163">
      <c r="A6" s="279" t="inlineStr">
        <is>
          <t>TELEFONE</t>
        </is>
      </c>
      <c r="B6" s="280" t="inlineStr">
        <is>
          <t>(24) 2231-6831, (24) 2242-5196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DAS COMUNIDADES SANTO ANTÔNIO</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RUA CORONEL ALBINO SIQUEIRA, 197 - CEP 25635-130</t>
        </is>
      </c>
      <c r="C4" s="299" t="n"/>
      <c r="D4" s="299" t="n"/>
      <c r="E4" s="281" t="n"/>
    </row>
    <row r="5" ht="19.5" customHeight="1" s="163">
      <c r="A5" s="279" t="inlineStr">
        <is>
          <t>CÓDIGO</t>
        </is>
      </c>
      <c r="B5" s="280" t="inlineStr">
        <is>
          <t>2009</t>
        </is>
      </c>
      <c r="C5" s="299" t="n"/>
      <c r="D5" s="299" t="n"/>
      <c r="E5" s="281" t="n"/>
    </row>
    <row r="6" ht="19.5" customHeight="1" s="163">
      <c r="A6" s="279" t="inlineStr">
        <is>
          <t>TELEFONE</t>
        </is>
      </c>
      <c r="B6" s="280" t="inlineStr">
        <is>
          <t>(24) 2245-9634, (24) 2242-4802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DOMÉSTICA NOSSA SENHORA DO AMPARO</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AVENIDA ROBERTO SILVEIRA, 150 - CEP 25685-040</t>
        </is>
      </c>
      <c r="C4" s="299" t="n"/>
      <c r="D4" s="299" t="n"/>
      <c r="E4" s="281" t="n"/>
    </row>
    <row r="5" ht="19.5" customHeight="1" s="163">
      <c r="A5" s="279" t="inlineStr">
        <is>
          <t>CÓDIGO</t>
        </is>
      </c>
      <c r="B5" s="280" t="inlineStr">
        <is>
          <t>2010</t>
        </is>
      </c>
      <c r="C5" s="299" t="n"/>
      <c r="D5" s="299" t="n"/>
      <c r="E5" s="281" t="n"/>
    </row>
    <row r="6" ht="19.5" customHeight="1" s="163">
      <c r="A6" s="279" t="inlineStr">
        <is>
          <t>TELEFONE</t>
        </is>
      </c>
      <c r="B6" s="280" t="inlineStr">
        <is>
          <t>(24) 2242-0868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NOSSA SENHORA DA GLÓRIA</t>
        </is>
      </c>
      <c r="C2" s="299" t="n"/>
      <c r="D2" s="299" t="n"/>
      <c r="E2" s="281" t="n"/>
    </row>
    <row r="3" ht="19.5" customHeight="1" s="163">
      <c r="A3" s="279" t="inlineStr">
        <is>
          <t>BAIRRO</t>
        </is>
      </c>
      <c r="B3" s="280" t="inlineStr">
        <is>
          <t>MORIN</t>
        </is>
      </c>
      <c r="C3" s="299" t="n"/>
      <c r="D3" s="299" t="n"/>
      <c r="E3" s="281" t="n"/>
    </row>
    <row r="4" ht="19.5" customHeight="1" s="163">
      <c r="A4" s="279" t="inlineStr">
        <is>
          <t>ENDEREÇO</t>
        </is>
      </c>
      <c r="B4" s="280" t="inlineStr">
        <is>
          <t>RUA AUGUSTO SEVERO, - CEP 25630-050</t>
        </is>
      </c>
      <c r="C4" s="299" t="n"/>
      <c r="D4" s="299" t="n"/>
      <c r="E4" s="281" t="n"/>
    </row>
    <row r="5" ht="19.5" customHeight="1" s="163">
      <c r="A5" s="279" t="inlineStr">
        <is>
          <t>CÓDIGO</t>
        </is>
      </c>
      <c r="B5" s="280" t="inlineStr">
        <is>
          <t>2013</t>
        </is>
      </c>
      <c r="C5" s="299" t="n"/>
      <c r="D5" s="299" t="n"/>
      <c r="E5" s="281" t="n"/>
    </row>
    <row r="6" ht="19.5" customHeight="1" s="163">
      <c r="A6" s="279" t="inlineStr">
        <is>
          <t>TELEFONE</t>
        </is>
      </c>
      <c r="B6" s="280" t="inlineStr">
        <is>
          <t>(24) 2245-8243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9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MONSENHOR GENTIL</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MARECHAL FLORIANO PEIXOTO, S/N - CEP 25610-970</t>
        </is>
      </c>
      <c r="C4" s="299" t="n"/>
      <c r="D4" s="299" t="n"/>
      <c r="E4" s="281" t="n"/>
    </row>
    <row r="5" ht="19.5" customHeight="1" s="163">
      <c r="A5" s="279" t="inlineStr">
        <is>
          <t>CÓDIGO</t>
        </is>
      </c>
      <c r="B5" s="280" t="inlineStr">
        <is>
          <t>2014</t>
        </is>
      </c>
      <c r="C5" s="299" t="n"/>
      <c r="D5" s="299" t="n"/>
      <c r="E5" s="281" t="n"/>
    </row>
    <row r="6" ht="19.5" customHeight="1" s="163">
      <c r="A6" s="279" t="inlineStr">
        <is>
          <t>TELEFONE</t>
        </is>
      </c>
      <c r="B6" s="280" t="inlineStr">
        <is>
          <t>(24) 2244-9156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BOM JESUS</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DR. THOUZET, 820 - CEP 25650-061</t>
        </is>
      </c>
      <c r="C4" s="299" t="n"/>
      <c r="D4" s="299" t="n"/>
      <c r="E4" s="281" t="n"/>
    </row>
    <row r="5" ht="19.5" customHeight="1" s="163">
      <c r="A5" s="279" t="inlineStr">
        <is>
          <t>CÓDIGO</t>
        </is>
      </c>
      <c r="B5" s="280" t="inlineStr">
        <is>
          <t>2015</t>
        </is>
      </c>
      <c r="C5" s="299" t="n"/>
      <c r="D5" s="299" t="n"/>
      <c r="E5" s="281" t="n"/>
    </row>
    <row r="6" ht="19.5" customHeight="1" s="163">
      <c r="A6" s="279" t="inlineStr">
        <is>
          <t>TELEFONE</t>
        </is>
      </c>
      <c r="B6" s="280" t="inlineStr">
        <is>
          <t>(24) 2243-0980, (24) 99330-6600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CARLOS DEMIÁ</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RUA FERNANDES VIEIRA, 110 - CEP 25680-386</t>
        </is>
      </c>
      <c r="C4" s="299" t="n"/>
      <c r="D4" s="299" t="n"/>
      <c r="E4" s="281" t="n"/>
    </row>
    <row r="5" ht="19.5" customHeight="1" s="163">
      <c r="A5" s="279" t="inlineStr">
        <is>
          <t>CÓDIGO</t>
        </is>
      </c>
      <c r="B5" s="280" t="inlineStr">
        <is>
          <t>2016</t>
        </is>
      </c>
      <c r="C5" s="299" t="n"/>
      <c r="D5" s="299" t="n"/>
      <c r="E5" s="281" t="n"/>
    </row>
    <row r="6" ht="19.5" customHeight="1" s="163">
      <c r="A6" s="279" t="inlineStr">
        <is>
          <t>TELEFONE</t>
        </is>
      </c>
      <c r="B6" s="280" t="inlineStr">
        <is>
          <t>(24) 2017-6633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NOSSA SENHORA DAS GRAÇAS</t>
        </is>
      </c>
      <c r="C2" s="299" t="n"/>
      <c r="D2" s="299" t="n"/>
      <c r="E2" s="281" t="n"/>
    </row>
    <row r="3" ht="19.5" customHeight="1" s="163">
      <c r="A3" s="279" t="inlineStr">
        <is>
          <t>BAIRRO</t>
        </is>
      </c>
      <c r="B3" s="280" t="inlineStr">
        <is>
          <t>QUARTEIRÃO BRASILEIRO</t>
        </is>
      </c>
      <c r="C3" s="299" t="n"/>
      <c r="D3" s="299" t="n"/>
      <c r="E3" s="281" t="n"/>
    </row>
    <row r="4" ht="19.5" customHeight="1" s="163">
      <c r="A4" s="279" t="inlineStr">
        <is>
          <t>ENDEREÇO</t>
        </is>
      </c>
      <c r="B4" s="280" t="inlineStr">
        <is>
          <t>RUA PROFESSOR JOÃO DE DEUS, 345 - CEP 25680-192</t>
        </is>
      </c>
      <c r="C4" s="299" t="n"/>
      <c r="D4" s="299" t="n"/>
      <c r="E4" s="281" t="n"/>
    </row>
    <row r="5" ht="19.5" customHeight="1" s="163">
      <c r="A5" s="279" t="inlineStr">
        <is>
          <t>CÓDIGO</t>
        </is>
      </c>
      <c r="B5" s="280" t="inlineStr">
        <is>
          <t>2017</t>
        </is>
      </c>
      <c r="C5" s="299" t="n"/>
      <c r="D5" s="299" t="n"/>
      <c r="E5" s="281" t="n"/>
    </row>
    <row r="6" ht="19.5" customHeight="1" s="163">
      <c r="A6" s="279" t="inlineStr">
        <is>
          <t>TELEFONE</t>
        </is>
      </c>
      <c r="B6" s="280" t="inlineStr">
        <is>
          <t>(24) 2248-4534, (24) 98847-1980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NOSSA SENHORA DO CARMO</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BARÃO DO RIO BRANCO, 2053 - CEP 25680-275</t>
        </is>
      </c>
      <c r="C4" s="299" t="n"/>
      <c r="D4" s="299" t="n"/>
      <c r="E4" s="281" t="n"/>
    </row>
    <row r="5" ht="19.5" customHeight="1" s="163">
      <c r="A5" s="279" t="inlineStr">
        <is>
          <t>CÓDIGO</t>
        </is>
      </c>
      <c r="B5" s="280" t="inlineStr">
        <is>
          <t>2018</t>
        </is>
      </c>
      <c r="C5" s="299" t="n"/>
      <c r="D5" s="299" t="n"/>
      <c r="E5" s="281" t="n"/>
    </row>
    <row r="6" ht="19.5" customHeight="1" s="163">
      <c r="A6" s="279" t="inlineStr">
        <is>
          <t>TELEFONE</t>
        </is>
      </c>
      <c r="B6" s="280" t="inlineStr">
        <is>
          <t>(24) 2245-6119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SÃO PEDRO DE ALCÂNTARA</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IPIRANGA, 182 - CEP 25685-250</t>
        </is>
      </c>
      <c r="C4" s="299" t="n"/>
      <c r="D4" s="299" t="n"/>
      <c r="E4" s="281" t="n"/>
    </row>
    <row r="5" ht="19.5" customHeight="1" s="163">
      <c r="A5" s="279" t="inlineStr">
        <is>
          <t>CÓDIGO</t>
        </is>
      </c>
      <c r="B5" s="280" t="inlineStr">
        <is>
          <t>2019</t>
        </is>
      </c>
      <c r="C5" s="299" t="n"/>
      <c r="D5" s="299" t="n"/>
      <c r="E5" s="281" t="n"/>
    </row>
    <row r="6" ht="19.5" customHeight="1" s="163">
      <c r="A6" s="279" t="inlineStr">
        <is>
          <t>TELEFONE</t>
        </is>
      </c>
      <c r="B6" s="280" t="inlineStr">
        <is>
          <t>(24) 2245-6599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SANTA MARIA GORETTI</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DR. PAULO HERVÊ, 1539 - CEP 25665-135</t>
        </is>
      </c>
      <c r="C4" s="299" t="n"/>
      <c r="D4" s="299" t="n"/>
      <c r="E4" s="281" t="n"/>
    </row>
    <row r="5" ht="19.5" customHeight="1" s="163">
      <c r="A5" s="279" t="inlineStr">
        <is>
          <t>CÓDIGO</t>
        </is>
      </c>
      <c r="B5" s="280" t="inlineStr">
        <is>
          <t>2023</t>
        </is>
      </c>
      <c r="C5" s="299" t="n"/>
      <c r="D5" s="299" t="n"/>
      <c r="E5" s="281" t="n"/>
    </row>
    <row r="6" ht="19.5" customHeight="1" s="163">
      <c r="A6" s="279" t="inlineStr">
        <is>
          <t>TELEFONE</t>
        </is>
      </c>
      <c r="B6" s="280" t="inlineStr">
        <is>
          <t>(24) 2244-8436, (24) 98818-6823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SANTA RITA DE CASSIA</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CORONEL DUARTE DA SILVEIRA, 940 - CEP 25665-473</t>
        </is>
      </c>
      <c r="C4" s="299" t="n"/>
      <c r="D4" s="299" t="n"/>
      <c r="E4" s="281" t="n"/>
    </row>
    <row r="5" ht="19.5" customHeight="1" s="163">
      <c r="A5" s="279" t="inlineStr">
        <is>
          <t>CÓDIGO</t>
        </is>
      </c>
      <c r="B5" s="280" t="inlineStr">
        <is>
          <t>2024</t>
        </is>
      </c>
      <c r="C5" s="299" t="n"/>
      <c r="D5" s="299" t="n"/>
      <c r="E5" s="281" t="n"/>
    </row>
    <row r="6" ht="19.5" customHeight="1" s="163">
      <c r="A6" s="279" t="inlineStr">
        <is>
          <t>TELEFONE</t>
        </is>
      </c>
      <c r="B6" s="280" t="inlineStr">
        <is>
          <t>(24) 2247-8163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SÃO CRISTÓVÃO</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PRAÇA PASTEUR, 79 - CEP 25640-040</t>
        </is>
      </c>
      <c r="C4" s="299" t="n"/>
      <c r="D4" s="299" t="n"/>
      <c r="E4" s="281" t="n"/>
    </row>
    <row r="5" ht="19.5" customHeight="1" s="163">
      <c r="A5" s="279" t="inlineStr">
        <is>
          <t>CÓDIGO</t>
        </is>
      </c>
      <c r="B5" s="280" t="inlineStr">
        <is>
          <t>2025</t>
        </is>
      </c>
      <c r="C5" s="299" t="n"/>
      <c r="D5" s="299" t="n"/>
      <c r="E5" s="281" t="n"/>
    </row>
    <row r="6" ht="19.5" customHeight="1" s="163">
      <c r="A6" s="279" t="inlineStr">
        <is>
          <t>TELEFONE</t>
        </is>
      </c>
      <c r="B6" s="280" t="inlineStr">
        <is>
          <t>(24) 2245-9752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SÃO FRANCISCO DE ASSIS - BV</t>
        </is>
      </c>
      <c r="C2" s="299" t="n"/>
      <c r="D2" s="299" t="n"/>
      <c r="E2" s="281" t="n"/>
    </row>
    <row r="3" ht="19.5" customHeight="1" s="163">
      <c r="A3" s="279" t="inlineStr">
        <is>
          <t>BAIRRO</t>
        </is>
      </c>
      <c r="B3" s="280" t="inlineStr">
        <is>
          <t>BELA VISTA</t>
        </is>
      </c>
      <c r="C3" s="299" t="n"/>
      <c r="D3" s="299" t="n"/>
      <c r="E3" s="281" t="n"/>
    </row>
    <row r="4" ht="19.5" customHeight="1" s="163">
      <c r="A4" s="279" t="inlineStr">
        <is>
          <t>ENDEREÇO</t>
        </is>
      </c>
      <c r="B4" s="280" t="inlineStr">
        <is>
          <t>RUA MARCOLINO SIMÕES FERREIRA, 254 - CEP 25710-165</t>
        </is>
      </c>
      <c r="C4" s="299" t="n"/>
      <c r="D4" s="299" t="n"/>
      <c r="E4" s="281" t="n"/>
    </row>
    <row r="5" ht="19.5" customHeight="1" s="163">
      <c r="A5" s="279" t="inlineStr">
        <is>
          <t>CÓDIGO</t>
        </is>
      </c>
      <c r="B5" s="280" t="inlineStr">
        <is>
          <t>2026</t>
        </is>
      </c>
      <c r="C5" s="299" t="n"/>
      <c r="D5" s="299" t="n"/>
      <c r="E5" s="281" t="n"/>
    </row>
    <row r="6" ht="19.5" customHeight="1" s="163">
      <c r="A6" s="279" t="inlineStr">
        <is>
          <t>TELEFONE</t>
        </is>
      </c>
      <c r="B6" s="280" t="inlineStr">
        <is>
          <t>(24) 2280-1174, (24) 2020-4881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0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SAO FRANCISCO DE ASSIS</t>
        </is>
      </c>
      <c r="C2" s="299" t="n"/>
      <c r="D2" s="299" t="n"/>
      <c r="E2" s="281" t="n"/>
    </row>
    <row r="3" ht="19.5" customHeight="1" s="163">
      <c r="A3" s="279" t="inlineStr">
        <is>
          <t>BAIRRO</t>
        </is>
      </c>
      <c r="B3" s="280" t="inlineStr">
        <is>
          <t>MOINHO PRETO</t>
        </is>
      </c>
      <c r="C3" s="299" t="n"/>
      <c r="D3" s="299" t="n"/>
      <c r="E3" s="281" t="n"/>
    </row>
    <row r="4" ht="19.5" customHeight="1" s="163">
      <c r="A4" s="279" t="inlineStr">
        <is>
          <t>ENDEREÇO</t>
        </is>
      </c>
      <c r="B4" s="280" t="inlineStr">
        <is>
          <t>JOÃO XAVIER, S/N - CEP 25665-442</t>
        </is>
      </c>
      <c r="C4" s="299" t="n"/>
      <c r="D4" s="299" t="n"/>
      <c r="E4" s="281" t="n"/>
    </row>
    <row r="5" ht="19.5" customHeight="1" s="163">
      <c r="A5" s="279" t="inlineStr">
        <is>
          <t>CÓDIGO</t>
        </is>
      </c>
      <c r="B5" s="280" t="inlineStr">
        <is>
          <t>2027</t>
        </is>
      </c>
      <c r="C5" s="299" t="n"/>
      <c r="D5" s="299" t="n"/>
      <c r="E5" s="281" t="n"/>
    </row>
    <row r="6" ht="19.5" customHeight="1" s="163">
      <c r="A6" s="279" t="inlineStr">
        <is>
          <t>TELEFONE</t>
        </is>
      </c>
      <c r="B6" s="280" t="inlineStr">
        <is>
          <t>(24) 99271-7947, (24) 2235-3818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SÃO JOÃO BATISTA</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LUIZ WINTER, S/N - CEP 25665-431</t>
        </is>
      </c>
      <c r="C4" s="299" t="n"/>
      <c r="D4" s="299" t="n"/>
      <c r="E4" s="281" t="n"/>
    </row>
    <row r="5" ht="19.5" customHeight="1" s="163">
      <c r="A5" s="279" t="inlineStr">
        <is>
          <t>CÓDIGO</t>
        </is>
      </c>
      <c r="B5" s="280" t="inlineStr">
        <is>
          <t>2028</t>
        </is>
      </c>
      <c r="C5" s="299" t="n"/>
      <c r="D5" s="299" t="n"/>
      <c r="E5" s="281" t="n"/>
    </row>
    <row r="6" ht="19.5" customHeight="1" s="163">
      <c r="A6" s="279" t="inlineStr">
        <is>
          <t>TELEFONE</t>
        </is>
      </c>
      <c r="B6" s="280" t="inlineStr">
        <is>
          <t>(24) 2019-1828, (24) 2019-1828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SÃO JUDAS TADEU</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MOSELA, 1445 - CEP 25675-012</t>
        </is>
      </c>
      <c r="C4" s="299" t="n"/>
      <c r="D4" s="299" t="n"/>
      <c r="E4" s="281" t="n"/>
    </row>
    <row r="5" ht="19.5" customHeight="1" s="163">
      <c r="A5" s="279" t="inlineStr">
        <is>
          <t>CÓDIGO</t>
        </is>
      </c>
      <c r="B5" s="280" t="inlineStr">
        <is>
          <t>2029</t>
        </is>
      </c>
      <c r="C5" s="299" t="n"/>
      <c r="D5" s="299" t="n"/>
      <c r="E5" s="281" t="n"/>
    </row>
    <row r="6" ht="19.5" customHeight="1" s="163">
      <c r="A6" s="279" t="inlineStr">
        <is>
          <t>TELEFONE</t>
        </is>
      </c>
      <c r="B6" s="280" t="inlineStr">
        <is>
          <t>(24) 2231-6934, (24) 99276-8304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SÃO PIO X</t>
        </is>
      </c>
      <c r="C2" s="299" t="n"/>
      <c r="D2" s="299" t="n"/>
      <c r="E2" s="281" t="n"/>
    </row>
    <row r="3" ht="19.5" customHeight="1" s="163">
      <c r="A3" s="279" t="inlineStr">
        <is>
          <t>BAIRRO</t>
        </is>
      </c>
      <c r="B3" s="280" t="inlineStr">
        <is>
          <t>CAXAMBU</t>
        </is>
      </c>
      <c r="C3" s="299" t="n"/>
      <c r="D3" s="299" t="n"/>
      <c r="E3" s="281" t="n"/>
    </row>
    <row r="4" ht="19.5" customHeight="1" s="163">
      <c r="A4" s="279" t="inlineStr">
        <is>
          <t>ENDEREÇO</t>
        </is>
      </c>
      <c r="B4" s="280" t="inlineStr">
        <is>
          <t>RUA LUÍS IMBROISI, 107 - CEP 25610-041</t>
        </is>
      </c>
      <c r="C4" s="299" t="n"/>
      <c r="D4" s="299" t="n"/>
      <c r="E4" s="281" t="n"/>
    </row>
    <row r="5" ht="19.5" customHeight="1" s="163">
      <c r="A5" s="279" t="inlineStr">
        <is>
          <t>CÓDIGO</t>
        </is>
      </c>
      <c r="B5" s="280" t="inlineStr">
        <is>
          <t>2030</t>
        </is>
      </c>
      <c r="C5" s="299" t="n"/>
      <c r="D5" s="299" t="n"/>
      <c r="E5" s="281" t="n"/>
    </row>
    <row r="6" ht="19.5" customHeight="1" s="163">
      <c r="A6" s="279" t="inlineStr">
        <is>
          <t>TELEFONE</t>
        </is>
      </c>
      <c r="B6" s="280" t="inlineStr">
        <is>
          <t>(24) 2235-6740, (24) 99871-2999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COLÉGIO ANGLICANO DE ARARAS</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ESTRADA BERNARDO COUTINHO, 1643 - CEP 25725-022</t>
        </is>
      </c>
      <c r="C4" s="299" t="n"/>
      <c r="D4" s="299" t="n"/>
      <c r="E4" s="281" t="n"/>
    </row>
    <row r="5" ht="19.5" customHeight="1" s="163">
      <c r="A5" s="279" t="inlineStr">
        <is>
          <t>CÓDIGO</t>
        </is>
      </c>
      <c r="B5" s="280" t="inlineStr">
        <is>
          <t>2033</t>
        </is>
      </c>
      <c r="C5" s="299" t="n"/>
      <c r="D5" s="299" t="n"/>
      <c r="E5" s="281" t="n"/>
    </row>
    <row r="6" ht="19.5" customHeight="1" s="163">
      <c r="A6" s="279" t="inlineStr">
        <is>
          <t>TELEFONE</t>
        </is>
      </c>
      <c r="B6" s="280" t="inlineStr">
        <is>
          <t>(24) 2225-1226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COLEGIO VICENTINO PADRE CORRÊA</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ALVARES DE AZEVEDO, 24 - CEP 25730-020</t>
        </is>
      </c>
      <c r="C4" s="299" t="n"/>
      <c r="D4" s="299" t="n"/>
      <c r="E4" s="281" t="n"/>
    </row>
    <row r="5" ht="19.5" customHeight="1" s="163">
      <c r="A5" s="279" t="inlineStr">
        <is>
          <t>CÓDIGO</t>
        </is>
      </c>
      <c r="B5" s="280" t="inlineStr">
        <is>
          <t>2034</t>
        </is>
      </c>
      <c r="C5" s="299" t="n"/>
      <c r="D5" s="299" t="n"/>
      <c r="E5" s="281" t="n"/>
    </row>
    <row r="6" ht="19.5" customHeight="1" s="163">
      <c r="A6" s="279" t="inlineStr">
        <is>
          <t>TELEFONE</t>
        </is>
      </c>
      <c r="B6" s="280" t="inlineStr">
        <is>
          <t>(24) 2221-2046, (24) 2221-1970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NOSSA SENHORA DE FÁTIMA</t>
        </is>
      </c>
      <c r="C2" s="299" t="n"/>
      <c r="D2" s="299" t="n"/>
      <c r="E2" s="281" t="n"/>
    </row>
    <row r="3" ht="19.5" customHeight="1" s="163">
      <c r="A3" s="279" t="inlineStr">
        <is>
          <t>BAIRRO</t>
        </is>
      </c>
      <c r="B3" s="280" t="inlineStr">
        <is>
          <t>RIO DA CIDADE</t>
        </is>
      </c>
      <c r="C3" s="299" t="n"/>
      <c r="D3" s="299" t="n"/>
      <c r="E3" s="281" t="n"/>
    </row>
    <row r="4" ht="19.5" customHeight="1" s="163">
      <c r="A4" s="279" t="inlineStr">
        <is>
          <t>ENDEREÇO</t>
        </is>
      </c>
      <c r="B4" s="280" t="inlineStr">
        <is>
          <t>RODOVIA BR040 KM66, KM 66 - CEP 25725-580</t>
        </is>
      </c>
      <c r="C4" s="299" t="n"/>
      <c r="D4" s="299" t="n"/>
      <c r="E4" s="281" t="n"/>
    </row>
    <row r="5" ht="19.5" customHeight="1" s="163">
      <c r="A5" s="279" t="inlineStr">
        <is>
          <t>CÓDIGO</t>
        </is>
      </c>
      <c r="B5" s="280" t="inlineStr">
        <is>
          <t>2036</t>
        </is>
      </c>
      <c r="C5" s="299" t="n"/>
      <c r="D5" s="299" t="n"/>
      <c r="E5" s="281" t="n"/>
    </row>
    <row r="6" ht="19.5" customHeight="1" s="163">
      <c r="A6" s="279" t="inlineStr">
        <is>
          <t>TELEFONE</t>
        </is>
      </c>
      <c r="B6" s="280" t="inlineStr">
        <is>
          <t>(24) 2243-9660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DA ALCOBAÇA</t>
        </is>
      </c>
      <c r="C2" s="299" t="n"/>
      <c r="D2" s="299" t="n"/>
      <c r="E2" s="281" t="n"/>
    </row>
    <row r="3" ht="19.5" customHeight="1" s="163">
      <c r="A3" s="279" t="inlineStr">
        <is>
          <t>BAIRRO</t>
        </is>
      </c>
      <c r="B3" s="280" t="inlineStr">
        <is>
          <t>SAMAMBAIA</t>
        </is>
      </c>
      <c r="C3" s="299" t="n"/>
      <c r="D3" s="299" t="n"/>
      <c r="E3" s="281" t="n"/>
    </row>
    <row r="4" ht="19.5" customHeight="1" s="163">
      <c r="A4" s="279" t="inlineStr">
        <is>
          <t>ENDEREÇO</t>
        </is>
      </c>
      <c r="B4" s="280" t="inlineStr">
        <is>
          <t>LUIZ SALOMÃO VIANA, 128 - CEP 25710-332</t>
        </is>
      </c>
      <c r="C4" s="299" t="n"/>
      <c r="D4" s="299" t="n"/>
      <c r="E4" s="281" t="n"/>
    </row>
    <row r="5" ht="19.5" customHeight="1" s="163">
      <c r="A5" s="279" t="inlineStr">
        <is>
          <t>CÓDIGO</t>
        </is>
      </c>
      <c r="B5" s="280" t="inlineStr">
        <is>
          <t>2037</t>
        </is>
      </c>
      <c r="C5" s="299" t="n"/>
      <c r="D5" s="299" t="n"/>
      <c r="E5" s="281" t="n"/>
    </row>
    <row r="6" ht="19.5" customHeight="1" s="163">
      <c r="A6" s="279" t="inlineStr">
        <is>
          <t>TELEFONE</t>
        </is>
      </c>
      <c r="B6" s="280" t="inlineStr">
        <is>
          <t>(24) 98112-1309, (24) 98839-3055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DO LOTEAMENTO SAMAMBAIA</t>
        </is>
      </c>
      <c r="C2" s="299" t="n"/>
      <c r="D2" s="299" t="n"/>
      <c r="E2" s="281" t="n"/>
    </row>
    <row r="3" ht="19.5" customHeight="1" s="163">
      <c r="A3" s="279" t="inlineStr">
        <is>
          <t>BAIRRO</t>
        </is>
      </c>
      <c r="B3" s="280" t="inlineStr">
        <is>
          <t>LOTEAMENTO SAMAMBAIA</t>
        </is>
      </c>
      <c r="C3" s="299" t="n"/>
      <c r="D3" s="299" t="n"/>
      <c r="E3" s="281" t="n"/>
    </row>
    <row r="4" ht="19.5" customHeight="1" s="163">
      <c r="A4" s="279" t="inlineStr">
        <is>
          <t>ENDEREÇO</t>
        </is>
      </c>
      <c r="B4" s="280" t="inlineStr">
        <is>
          <t>JOÃO AUGUSTO DE OLIVEIRA FILHO, 28 - CEP 25710-259</t>
        </is>
      </c>
      <c r="C4" s="299" t="n"/>
      <c r="D4" s="299" t="n"/>
      <c r="E4" s="281" t="n"/>
    </row>
    <row r="5" ht="19.5" customHeight="1" s="163">
      <c r="A5" s="279" t="inlineStr">
        <is>
          <t>CÓDIGO</t>
        </is>
      </c>
      <c r="B5" s="280" t="inlineStr">
        <is>
          <t>2038</t>
        </is>
      </c>
      <c r="C5" s="299" t="n"/>
      <c r="D5" s="299" t="n"/>
      <c r="E5" s="281" t="n"/>
    </row>
    <row r="6" ht="19.5" customHeight="1" s="163">
      <c r="A6" s="279" t="inlineStr">
        <is>
          <t>TELEFONE</t>
        </is>
      </c>
      <c r="B6" s="280" t="inlineStr">
        <is>
          <t>(24) 2247-0517, (24) 98843-5217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PAROQUIAL SANTA BERNADETE</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RUA BERNARDO COUTINHO, 1845 - CEP 25725-022</t>
        </is>
      </c>
      <c r="C4" s="299" t="n"/>
      <c r="D4" s="299" t="n"/>
      <c r="E4" s="281" t="n"/>
    </row>
    <row r="5" ht="19.5" customHeight="1" s="163">
      <c r="A5" s="279" t="inlineStr">
        <is>
          <t>CÓDIGO</t>
        </is>
      </c>
      <c r="B5" s="280" t="inlineStr">
        <is>
          <t>2039</t>
        </is>
      </c>
      <c r="C5" s="299" t="n"/>
      <c r="D5" s="299" t="n"/>
      <c r="E5" s="281" t="n"/>
    </row>
    <row r="6" ht="19.5" customHeight="1" s="163">
      <c r="A6" s="279" t="inlineStr">
        <is>
          <t>TELEFONE</t>
        </is>
      </c>
      <c r="B6" s="280" t="inlineStr">
        <is>
          <t>(24) 2225-0471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1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SÃO GERALDO</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ESTRADA DIVINO ESPÍRITO SANTO, 740 - CEP 25715-410</t>
        </is>
      </c>
      <c r="C4" s="299" t="n"/>
      <c r="D4" s="299" t="n"/>
      <c r="E4" s="281" t="n"/>
    </row>
    <row r="5" ht="19.5" customHeight="1" s="163">
      <c r="A5" s="279" t="inlineStr">
        <is>
          <t>CÓDIGO</t>
        </is>
      </c>
      <c r="B5" s="280" t="inlineStr">
        <is>
          <t>2041</t>
        </is>
      </c>
      <c r="C5" s="299" t="n"/>
      <c r="D5" s="299" t="n"/>
      <c r="E5" s="281" t="n"/>
    </row>
    <row r="6" ht="19.5" customHeight="1" s="163">
      <c r="A6" s="279" t="inlineStr">
        <is>
          <t>TELEFONE</t>
        </is>
      </c>
      <c r="B6" s="280" t="inlineStr">
        <is>
          <t>(24) 2020-4604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SANTO ANTÔNIO</t>
        </is>
      </c>
      <c r="C2" s="299" t="n"/>
      <c r="D2" s="299" t="n"/>
      <c r="E2" s="281" t="n"/>
    </row>
    <row r="3" ht="19.5" customHeight="1" s="163">
      <c r="A3" s="279" t="inlineStr">
        <is>
          <t>BAIRRO</t>
        </is>
      </c>
      <c r="B3" s="280" t="inlineStr">
        <is>
          <t>CUIABÁ</t>
        </is>
      </c>
      <c r="C3" s="299" t="n"/>
      <c r="D3" s="299" t="n"/>
      <c r="E3" s="281" t="n"/>
    </row>
    <row r="4" ht="19.5" customHeight="1" s="163">
      <c r="A4" s="279" t="inlineStr">
        <is>
          <t>ENDEREÇO</t>
        </is>
      </c>
      <c r="B4" s="280" t="inlineStr">
        <is>
          <t>ESTRADA MINISTRO SALGADO FILHO, 4839 - CEP 25745-450</t>
        </is>
      </c>
      <c r="C4" s="299" t="n"/>
      <c r="D4" s="299" t="n"/>
      <c r="E4" s="281" t="n"/>
    </row>
    <row r="5" ht="19.5" customHeight="1" s="163">
      <c r="A5" s="279" t="inlineStr">
        <is>
          <t>CÓDIGO</t>
        </is>
      </c>
      <c r="B5" s="280" t="inlineStr">
        <is>
          <t>2044</t>
        </is>
      </c>
      <c r="C5" s="299" t="n"/>
      <c r="D5" s="299" t="n"/>
      <c r="E5" s="281" t="n"/>
    </row>
    <row r="6" ht="19.5" customHeight="1" s="163">
      <c r="A6" s="279" t="inlineStr">
        <is>
          <t>TELEFONE</t>
        </is>
      </c>
      <c r="B6" s="280" t="inlineStr">
        <is>
          <t>(24) 99204-1496, (24) 2246-8796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LICEU SÃO JOSÉ DE ITAIPAVA</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UNIÃO INDÚSTRIA, 1449 - CEP 25740-365</t>
        </is>
      </c>
      <c r="C4" s="299" t="n"/>
      <c r="D4" s="299" t="n"/>
      <c r="E4" s="281" t="n"/>
    </row>
    <row r="5" ht="19.5" customHeight="1" s="163">
      <c r="A5" s="279" t="inlineStr">
        <is>
          <t>CÓDIGO</t>
        </is>
      </c>
      <c r="B5" s="280" t="inlineStr">
        <is>
          <t>2045</t>
        </is>
      </c>
      <c r="C5" s="299" t="n"/>
      <c r="D5" s="299" t="n"/>
      <c r="E5" s="281" t="n"/>
    </row>
    <row r="6" ht="19.5" customHeight="1" s="163">
      <c r="A6" s="279" t="inlineStr">
        <is>
          <t>TELEFONE</t>
        </is>
      </c>
      <c r="B6" s="280" t="inlineStr">
        <is>
          <t>(24) 2222-1210, (24) 2222-1443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ESCOLA SÃO JOSÉ DO CAETITU</t>
        </is>
      </c>
      <c r="C2" s="299" t="n"/>
      <c r="D2" s="299" t="n"/>
      <c r="E2" s="281" t="n"/>
    </row>
    <row r="3" ht="19.5" customHeight="1" s="163">
      <c r="A3" s="279" t="inlineStr">
        <is>
          <t>BAIRRO</t>
        </is>
      </c>
      <c r="B3" s="280" t="inlineStr">
        <is>
          <t>CASTELO SÃO MANOEL</t>
        </is>
      </c>
      <c r="C3" s="299" t="n"/>
      <c r="D3" s="299" t="n"/>
      <c r="E3" s="281" t="n"/>
    </row>
    <row r="4" ht="19.5" customHeight="1" s="163">
      <c r="A4" s="279" t="inlineStr">
        <is>
          <t>ENDEREÇO</t>
        </is>
      </c>
      <c r="B4" s="280" t="inlineStr">
        <is>
          <t>ESTRADA DO RIBEIRAO, 490 - CEP 25730-970</t>
        </is>
      </c>
      <c r="C4" s="299" t="n"/>
      <c r="D4" s="299" t="n"/>
      <c r="E4" s="281" t="n"/>
    </row>
    <row r="5" ht="19.5" customHeight="1" s="163">
      <c r="A5" s="279" t="inlineStr">
        <is>
          <t>CÓDIGO</t>
        </is>
      </c>
      <c r="B5" s="280" t="inlineStr">
        <is>
          <t>2049</t>
        </is>
      </c>
      <c r="C5" s="299" t="n"/>
      <c r="D5" s="299" t="n"/>
      <c r="E5" s="281" t="n"/>
    </row>
    <row r="6" ht="19.5" customHeight="1" s="163">
      <c r="A6" s="279" t="inlineStr">
        <is>
          <t>TELEFONE</t>
        </is>
      </c>
      <c r="B6" s="280" t="inlineStr">
        <is>
          <t>(24) 2249-1909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ASSOCIAÇÃO BENEFICENTE FAZENDA INGLESA</t>
        </is>
      </c>
      <c r="C2" s="299" t="n"/>
      <c r="D2" s="299" t="n"/>
      <c r="E2" s="281" t="n"/>
    </row>
    <row r="3" ht="19.5" customHeight="1" s="163">
      <c r="A3" s="279" t="inlineStr">
        <is>
          <t>BAIRRO</t>
        </is>
      </c>
      <c r="B3" s="280" t="inlineStr">
        <is>
          <t>FAZENDA INGLESA</t>
        </is>
      </c>
      <c r="C3" s="299" t="n"/>
      <c r="D3" s="299" t="n"/>
      <c r="E3" s="281" t="n"/>
    </row>
    <row r="4" ht="19.5" customHeight="1" s="163">
      <c r="A4" s="279" t="inlineStr">
        <is>
          <t>ENDEREÇO</t>
        </is>
      </c>
      <c r="B4" s="280" t="inlineStr">
        <is>
          <t>ESTRADA DA FAZENDA INGLESA, 340 - CEP 25670-070</t>
        </is>
      </c>
      <c r="C4" s="299" t="n"/>
      <c r="D4" s="299" t="n"/>
      <c r="E4" s="281" t="n"/>
    </row>
    <row r="5" ht="19.5" customHeight="1" s="163">
      <c r="A5" s="279" t="inlineStr">
        <is>
          <t>CÓDIGO</t>
        </is>
      </c>
      <c r="B5" s="280" t="inlineStr">
        <is>
          <t>3001</t>
        </is>
      </c>
      <c r="C5" s="299" t="n"/>
      <c r="D5" s="299" t="n"/>
      <c r="E5" s="281" t="n"/>
    </row>
    <row r="6" ht="19.5" customHeight="1" s="163">
      <c r="A6" s="279" t="inlineStr">
        <is>
          <t>TELEFONE</t>
        </is>
      </c>
      <c r="B6" s="280" t="inlineStr">
        <is>
          <t>(24) 99819-5307, (24) 2249-1184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CASA DA SOLIDARIEDADE DE NOSSA SENHORA APARECIDA</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DR. MOACYR M. NETTO, S/N - CEP 25665-442</t>
        </is>
      </c>
      <c r="C4" s="299" t="n"/>
      <c r="D4" s="299" t="n"/>
      <c r="E4" s="281" t="n"/>
    </row>
    <row r="5" ht="19.5" customHeight="1" s="163">
      <c r="A5" s="279" t="inlineStr">
        <is>
          <t>CÓDIGO</t>
        </is>
      </c>
      <c r="B5" s="280" t="inlineStr">
        <is>
          <t>3003</t>
        </is>
      </c>
      <c r="C5" s="299" t="n"/>
      <c r="D5" s="299" t="n"/>
      <c r="E5" s="281" t="n"/>
    </row>
    <row r="6" ht="19.5" customHeight="1" s="163">
      <c r="A6" s="279" t="inlineStr">
        <is>
          <t>TELEFONE</t>
        </is>
      </c>
      <c r="B6" s="280" t="inlineStr">
        <is>
          <t>(24) 2247-6344, (24) 2006-0789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LULU MONTEIRO DE CASTRO</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RUA DA CRECHE, 1 - CEP 25715-408</t>
        </is>
      </c>
      <c r="C4" s="299" t="n"/>
      <c r="D4" s="299" t="n"/>
      <c r="E4" s="281" t="n"/>
    </row>
    <row r="5" ht="19.5" customHeight="1" s="163">
      <c r="A5" s="279" t="inlineStr">
        <is>
          <t>CÓDIGO</t>
        </is>
      </c>
      <c r="B5" s="280" t="inlineStr">
        <is>
          <t>3004</t>
        </is>
      </c>
      <c r="C5" s="299" t="n"/>
      <c r="D5" s="299" t="n"/>
      <c r="E5" s="281" t="n"/>
    </row>
    <row r="6" ht="19.5" customHeight="1" s="163">
      <c r="A6" s="279" t="inlineStr">
        <is>
          <t>TELEFONE</t>
        </is>
      </c>
      <c r="B6" s="280" t="inlineStr">
        <is>
          <t>(24) 99214-9514, (24) 2291-8324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SÃO JOÃO BATISTA</t>
        </is>
      </c>
      <c r="C2" s="299" t="n"/>
      <c r="D2" s="299" t="n"/>
      <c r="E2" s="281" t="n"/>
    </row>
    <row r="3" ht="19.5" customHeight="1" s="163">
      <c r="A3" s="279" t="inlineStr">
        <is>
          <t>BAIRRO</t>
        </is>
      </c>
      <c r="B3" s="280" t="inlineStr">
        <is>
          <t>DUARTE DA SILVEIRA</t>
        </is>
      </c>
      <c r="C3" s="299" t="n"/>
      <c r="D3" s="299" t="n"/>
      <c r="E3" s="281" t="n"/>
    </row>
    <row r="4" ht="19.5" customHeight="1" s="163">
      <c r="A4" s="279" t="inlineStr">
        <is>
          <t>ENDEREÇO</t>
        </is>
      </c>
      <c r="B4" s="280" t="inlineStr">
        <is>
          <t>RUA LUIZ WINTER, 123 - CEP 25665-431</t>
        </is>
      </c>
      <c r="C4" s="299" t="n"/>
      <c r="D4" s="299" t="n"/>
      <c r="E4" s="281" t="n"/>
    </row>
    <row r="5" ht="19.5" customHeight="1" s="163">
      <c r="A5" s="279" t="inlineStr">
        <is>
          <t>CÓDIGO</t>
        </is>
      </c>
      <c r="B5" s="280" t="inlineStr">
        <is>
          <t>3005</t>
        </is>
      </c>
      <c r="C5" s="299" t="n"/>
      <c r="D5" s="299" t="n"/>
      <c r="E5" s="281" t="n"/>
    </row>
    <row r="6" ht="19.5" customHeight="1" s="163">
      <c r="A6" s="279" t="inlineStr">
        <is>
          <t>TELEFONE</t>
        </is>
      </c>
      <c r="B6" s="280" t="inlineStr">
        <is>
          <t>(24) 2248-9959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SÃO FRANCISCO ASSIS</t>
        </is>
      </c>
      <c r="C2" s="299" t="n"/>
      <c r="D2" s="299" t="n"/>
      <c r="E2" s="281" t="n"/>
    </row>
    <row r="3" ht="19.5" customHeight="1" s="163">
      <c r="A3" s="279" t="inlineStr">
        <is>
          <t>BAIRRO</t>
        </is>
      </c>
      <c r="B3" s="280" t="inlineStr">
        <is>
          <t>MOINHO PRETO</t>
        </is>
      </c>
      <c r="C3" s="299" t="n"/>
      <c r="D3" s="299" t="n"/>
      <c r="E3" s="281" t="n"/>
    </row>
    <row r="4" ht="19.5" customHeight="1" s="163">
      <c r="A4" s="279" t="inlineStr">
        <is>
          <t>ENDEREÇO</t>
        </is>
      </c>
      <c r="B4" s="280" t="inlineStr">
        <is>
          <t>ESTRADA DA FAZENDA INGLESA, 25 - CEP 25670-070</t>
        </is>
      </c>
      <c r="C4" s="299" t="n"/>
      <c r="D4" s="299" t="n"/>
      <c r="E4" s="281" t="n"/>
    </row>
    <row r="5" ht="19.5" customHeight="1" s="163">
      <c r="A5" s="279" t="inlineStr">
        <is>
          <t>CÓDIGO</t>
        </is>
      </c>
      <c r="B5" s="280" t="inlineStr">
        <is>
          <t>3006</t>
        </is>
      </c>
      <c r="C5" s="299" t="n"/>
      <c r="D5" s="299" t="n"/>
      <c r="E5" s="281" t="n"/>
    </row>
    <row r="6" ht="19.5" customHeight="1" s="163">
      <c r="A6" s="279" t="inlineStr">
        <is>
          <t>TELEFONE</t>
        </is>
      </c>
      <c r="B6" s="280" t="inlineStr">
        <is>
          <t>(24) 98802-0473, (24) 2020-6093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 SEMENTEIRA</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MANOEL TORRES, 395 - CEP 25660-313</t>
        </is>
      </c>
      <c r="C4" s="299" t="n"/>
      <c r="D4" s="299" t="n"/>
      <c r="E4" s="281" t="n"/>
    </row>
    <row r="5" ht="19.5" customHeight="1" s="163">
      <c r="A5" s="279" t="inlineStr">
        <is>
          <t>CÓDIGO</t>
        </is>
      </c>
      <c r="B5" s="280" t="inlineStr">
        <is>
          <t>3007</t>
        </is>
      </c>
      <c r="C5" s="299" t="n"/>
      <c r="D5" s="299" t="n"/>
      <c r="E5" s="281" t="n"/>
    </row>
    <row r="6" ht="19.5" customHeight="1" s="163">
      <c r="A6" s="279" t="inlineStr">
        <is>
          <t>TELEFONE</t>
        </is>
      </c>
      <c r="B6" s="280" t="inlineStr">
        <is>
          <t>(24) 2249-7294, (24) 98854-5909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2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FREI LEÃO</t>
        </is>
      </c>
      <c r="C2" s="299" t="n"/>
      <c r="D2" s="299" t="n"/>
      <c r="E2" s="281" t="n"/>
    </row>
    <row r="3" ht="19.5" customHeight="1" s="163">
      <c r="A3" s="279" t="inlineStr">
        <is>
          <t>BAIRRO</t>
        </is>
      </c>
      <c r="B3" s="280" t="inlineStr">
        <is>
          <t>CHÁCARA FLORA</t>
        </is>
      </c>
      <c r="C3" s="299" t="n"/>
      <c r="D3" s="299" t="n"/>
      <c r="E3" s="281" t="n"/>
    </row>
    <row r="4" ht="19.5" customHeight="1" s="163">
      <c r="A4" s="279" t="inlineStr">
        <is>
          <t>ENDEREÇO</t>
        </is>
      </c>
      <c r="B4" s="280" t="inlineStr">
        <is>
          <t>PERMINIO SCHMITH, S/N - CEP 25635-370</t>
        </is>
      </c>
      <c r="C4" s="299" t="n"/>
      <c r="D4" s="299" t="n"/>
      <c r="E4" s="281" t="n"/>
    </row>
    <row r="5" ht="19.5" customHeight="1" s="163">
      <c r="A5" s="279" t="inlineStr">
        <is>
          <t>CÓDIGO</t>
        </is>
      </c>
      <c r="B5" s="280" t="inlineStr">
        <is>
          <t>3008</t>
        </is>
      </c>
      <c r="C5" s="299" t="n"/>
      <c r="D5" s="299" t="n"/>
      <c r="E5" s="281" t="n"/>
    </row>
    <row r="6" ht="19.5" customHeight="1" s="163">
      <c r="A6" s="279" t="inlineStr">
        <is>
          <t>TELEFONE</t>
        </is>
      </c>
      <c r="B6" s="280" t="inlineStr">
        <is>
          <t>(24) 2248-6005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ROMANO CANAVESE</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RUA JOSÉ CHAVES, S/N - CEP 25645-255</t>
        </is>
      </c>
      <c r="C4" s="299" t="n"/>
      <c r="D4" s="299" t="n"/>
      <c r="E4" s="281" t="n"/>
    </row>
    <row r="5" ht="19.5" customHeight="1" s="163">
      <c r="A5" s="279" t="inlineStr">
        <is>
          <t>CÓDIGO</t>
        </is>
      </c>
      <c r="B5" s="280" t="inlineStr">
        <is>
          <t>3011</t>
        </is>
      </c>
      <c r="C5" s="299" t="n"/>
      <c r="D5" s="299" t="n"/>
      <c r="E5" s="281" t="n"/>
    </row>
    <row r="6" ht="19.5" customHeight="1" s="163">
      <c r="A6" s="279" t="inlineStr">
        <is>
          <t>TELEFONE</t>
        </is>
      </c>
      <c r="B6" s="280" t="inlineStr">
        <is>
          <t>(24) 2019-5360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ANDRÉ VANZAN</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BERNARDO PROENÇA, 809 - CEP 25710-082</t>
        </is>
      </c>
      <c r="C4" s="299" t="n"/>
      <c r="D4" s="299" t="n"/>
      <c r="E4" s="281" t="n"/>
    </row>
    <row r="5" ht="19.5" customHeight="1" s="163">
      <c r="A5" s="279" t="inlineStr">
        <is>
          <t>CÓDIGO</t>
        </is>
      </c>
      <c r="B5" s="280" t="inlineStr">
        <is>
          <t>3012</t>
        </is>
      </c>
      <c r="C5" s="299" t="n"/>
      <c r="D5" s="299" t="n"/>
      <c r="E5" s="281" t="n"/>
    </row>
    <row r="6" ht="19.5" customHeight="1" s="163">
      <c r="A6" s="279" t="inlineStr">
        <is>
          <t>TELEFONE</t>
        </is>
      </c>
      <c r="B6" s="280" t="inlineStr">
        <is>
          <t>(24) 99254-2954, (24) 2280-4330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CRIANÇA SANTA EDWIGES</t>
        </is>
      </c>
      <c r="C2" s="299" t="n"/>
      <c r="D2" s="299" t="n"/>
      <c r="E2" s="281" t="n"/>
    </row>
    <row r="3" ht="19.5" customHeight="1" s="163">
      <c r="A3" s="279" t="inlineStr">
        <is>
          <t>BAIRRO</t>
        </is>
      </c>
      <c r="B3" s="280" t="inlineStr">
        <is>
          <t>VILA RICA</t>
        </is>
      </c>
      <c r="C3" s="299" t="n"/>
      <c r="D3" s="299" t="n"/>
      <c r="E3" s="281" t="n"/>
    </row>
    <row r="4" ht="19.5" customHeight="1" s="163">
      <c r="A4" s="279" t="inlineStr">
        <is>
          <t>ENDEREÇO</t>
        </is>
      </c>
      <c r="B4" s="280" t="inlineStr">
        <is>
          <t>RUA AUGUSTO FRANCISCO DA SILVA, 1010 - CEP 25750-361</t>
        </is>
      </c>
      <c r="C4" s="299" t="n"/>
      <c r="D4" s="299" t="n"/>
      <c r="E4" s="281" t="n"/>
    </row>
    <row r="5" ht="19.5" customHeight="1" s="163">
      <c r="A5" s="279" t="inlineStr">
        <is>
          <t>CÓDIGO</t>
        </is>
      </c>
      <c r="B5" s="280" t="inlineStr">
        <is>
          <t>3013</t>
        </is>
      </c>
      <c r="C5" s="299" t="n"/>
      <c r="D5" s="299" t="n"/>
      <c r="E5" s="281" t="n"/>
    </row>
    <row r="6" ht="19.5" customHeight="1" s="163">
      <c r="A6" s="279" t="inlineStr">
        <is>
          <t>TELEFONE</t>
        </is>
      </c>
      <c r="B6" s="280" t="inlineStr">
        <is>
          <t>(24) 2223-4639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IRMÃ DULCE</t>
        </is>
      </c>
      <c r="C2" s="299" t="n"/>
      <c r="D2" s="299" t="n"/>
      <c r="E2" s="281" t="n"/>
    </row>
    <row r="3" ht="19.5" customHeight="1" s="163">
      <c r="A3" s="279" t="inlineStr">
        <is>
          <t>BAIRRO</t>
        </is>
      </c>
      <c r="B3" s="280" t="inlineStr">
        <is>
          <t>QUARTEIRÃO BRASILEIRO</t>
        </is>
      </c>
      <c r="C3" s="299" t="n"/>
      <c r="D3" s="299" t="n"/>
      <c r="E3" s="281" t="n"/>
    </row>
    <row r="4" ht="19.5" customHeight="1" s="163">
      <c r="A4" s="279" t="inlineStr">
        <is>
          <t>ENDEREÇO</t>
        </is>
      </c>
      <c r="B4" s="280" t="inlineStr">
        <is>
          <t>RUA ATÍLIO MAROTTI, 1011 - CEP 25680-290</t>
        </is>
      </c>
      <c r="C4" s="299" t="n"/>
      <c r="D4" s="299" t="n"/>
      <c r="E4" s="281" t="n"/>
    </row>
    <row r="5" ht="19.5" customHeight="1" s="163">
      <c r="A5" s="279" t="inlineStr">
        <is>
          <t>CÓDIGO</t>
        </is>
      </c>
      <c r="B5" s="280" t="inlineStr">
        <is>
          <t>3015</t>
        </is>
      </c>
      <c r="C5" s="299" t="n"/>
      <c r="D5" s="299" t="n"/>
      <c r="E5" s="281" t="n"/>
    </row>
    <row r="6" ht="19.5" customHeight="1" s="163">
      <c r="A6" s="279" t="inlineStr">
        <is>
          <t>TELEFONE</t>
        </is>
      </c>
      <c r="B6" s="280" t="inlineStr">
        <is>
          <t>(24) 2017-5664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PEDRAS BRANCAS</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PEDRAS BRANCAS, S/N - CEP 25670-221</t>
        </is>
      </c>
      <c r="C4" s="299" t="n"/>
      <c r="D4" s="299" t="n"/>
      <c r="E4" s="281" t="n"/>
    </row>
    <row r="5" ht="19.5" customHeight="1" s="163">
      <c r="A5" s="279" t="inlineStr">
        <is>
          <t>CÓDIGO</t>
        </is>
      </c>
      <c r="B5" s="280" t="inlineStr">
        <is>
          <t>3016</t>
        </is>
      </c>
      <c r="C5" s="299" t="n"/>
      <c r="D5" s="299" t="n"/>
      <c r="E5" s="281" t="n"/>
    </row>
    <row r="6" ht="19.5" customHeight="1" s="163">
      <c r="A6" s="279" t="inlineStr">
        <is>
          <t>TELEFONE</t>
        </is>
      </c>
      <c r="B6" s="280" t="inlineStr">
        <is>
          <t>(24) 2019-0042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INÊS BELARMINO DE SOUZA</t>
        </is>
      </c>
      <c r="C2" s="299" t="n"/>
      <c r="D2" s="299" t="n"/>
      <c r="E2" s="281" t="n"/>
    </row>
    <row r="3" ht="19.5" customHeight="1" s="163">
      <c r="A3" s="279" t="inlineStr">
        <is>
          <t>BAIRRO</t>
        </is>
      </c>
      <c r="B3" s="280" t="inlineStr">
        <is>
          <t>SIMÉRIA</t>
        </is>
      </c>
      <c r="C3" s="299" t="n"/>
      <c r="D3" s="299" t="n"/>
      <c r="E3" s="281" t="n"/>
    </row>
    <row r="4" ht="19.5" customHeight="1" s="163">
      <c r="A4" s="279" t="inlineStr">
        <is>
          <t>ENDEREÇO</t>
        </is>
      </c>
      <c r="B4" s="280" t="inlineStr">
        <is>
          <t>RUA MANOEL FRANCISCO DE PAULA, PROX AO PSF - CEP 25645-090</t>
        </is>
      </c>
      <c r="C4" s="299" t="n"/>
      <c r="D4" s="299" t="n"/>
      <c r="E4" s="281" t="n"/>
    </row>
    <row r="5" ht="19.5" customHeight="1" s="163">
      <c r="A5" s="279" t="inlineStr">
        <is>
          <t>CÓDIGO</t>
        </is>
      </c>
      <c r="B5" s="280" t="inlineStr">
        <is>
          <t>3017</t>
        </is>
      </c>
      <c r="C5" s="299" t="n"/>
      <c r="D5" s="299" t="n"/>
      <c r="E5" s="281" t="n"/>
    </row>
    <row r="6" ht="19.5" customHeight="1" s="163">
      <c r="A6" s="279" t="inlineStr">
        <is>
          <t>TELEFONE</t>
        </is>
      </c>
      <c r="B6" s="280" t="inlineStr">
        <is>
          <t>(24) 2247-5789, (24) 98831-8813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ROSANGELA DA SILVA LEONARDO</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ESTRADA VELHA DA ESTRELA, 3100 - CEP 25635-114</t>
        </is>
      </c>
      <c r="C4" s="299" t="n"/>
      <c r="D4" s="299" t="n"/>
      <c r="E4" s="281" t="n"/>
    </row>
    <row r="5" ht="19.5" customHeight="1" s="163">
      <c r="A5" s="279" t="inlineStr">
        <is>
          <t>CÓDIGO</t>
        </is>
      </c>
      <c r="B5" s="280" t="inlineStr">
        <is>
          <t>3019</t>
        </is>
      </c>
      <c r="C5" s="299" t="n"/>
      <c r="D5" s="299" t="n"/>
      <c r="E5" s="281" t="n"/>
    </row>
    <row r="6" ht="19.5" customHeight="1" s="163">
      <c r="A6" s="279" t="inlineStr">
        <is>
          <t>TELEFONE</t>
        </is>
      </c>
      <c r="B6" s="280" t="inlineStr">
        <is>
          <t>(24) 98832-2147, (24) 2020-7337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VILA SAO JOSE</t>
        </is>
      </c>
      <c r="C2" s="299" t="n"/>
      <c r="D2" s="299" t="n"/>
      <c r="E2" s="281" t="n"/>
    </row>
    <row r="3" ht="19.5" customHeight="1" s="163">
      <c r="A3" s="279" t="inlineStr">
        <is>
          <t>BAIRRO</t>
        </is>
      </c>
      <c r="B3" s="280" t="inlineStr">
        <is>
          <t>BINGEN</t>
        </is>
      </c>
      <c r="C3" s="299" t="n"/>
      <c r="D3" s="299" t="n"/>
      <c r="E3" s="281" t="n"/>
    </row>
    <row r="4" ht="19.5" customHeight="1" s="163">
      <c r="A4" s="279" t="inlineStr">
        <is>
          <t>ENDEREÇO</t>
        </is>
      </c>
      <c r="B4" s="280" t="inlineStr">
        <is>
          <t>RUA PAULINO AFONSO, 267 - CEP 25680-003</t>
        </is>
      </c>
      <c r="C4" s="299" t="n"/>
      <c r="D4" s="299" t="n"/>
      <c r="E4" s="281" t="n"/>
    </row>
    <row r="5" ht="19.5" customHeight="1" s="163">
      <c r="A5" s="279" t="inlineStr">
        <is>
          <t>CÓDIGO</t>
        </is>
      </c>
      <c r="B5" s="280" t="inlineStr">
        <is>
          <t>3020</t>
        </is>
      </c>
      <c r="C5" s="299" t="n"/>
      <c r="D5" s="299" t="n"/>
      <c r="E5" s="281" t="n"/>
    </row>
    <row r="6" ht="19.5" customHeight="1" s="163">
      <c r="A6" s="279" t="inlineStr">
        <is>
          <t>TELEFONE</t>
        </is>
      </c>
      <c r="B6" s="280" t="inlineStr">
        <is>
          <t>(24) 2249-7206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MARIA THEREZA KLING DO VALLE</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CANDIDO PORTINARI, 56 - CEP 25675-130</t>
        </is>
      </c>
      <c r="C4" s="299" t="n"/>
      <c r="D4" s="299" t="n"/>
      <c r="E4" s="281" t="n"/>
    </row>
    <row r="5" ht="19.5" customHeight="1" s="163">
      <c r="A5" s="279" t="inlineStr">
        <is>
          <t>CÓDIGO</t>
        </is>
      </c>
      <c r="B5" s="280" t="inlineStr">
        <is>
          <t>3021</t>
        </is>
      </c>
      <c r="C5" s="299" t="n"/>
      <c r="D5" s="299" t="n"/>
      <c r="E5" s="281" t="n"/>
    </row>
    <row r="6" ht="19.5" customHeight="1" s="163">
      <c r="A6" s="279" t="inlineStr">
        <is>
          <t>TELEFONE</t>
        </is>
      </c>
      <c r="B6" s="280" t="inlineStr">
        <is>
          <t>(24) 2237-4037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3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DEISE ELOY GOMES</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CARMEM DA PONTE MARCOLINO, 823 - CEP 25635-240</t>
        </is>
      </c>
      <c r="C4" s="299" t="n"/>
      <c r="D4" s="299" t="n"/>
      <c r="E4" s="281" t="n"/>
    </row>
    <row r="5" ht="19.5" customHeight="1" s="163">
      <c r="A5" s="279" t="inlineStr">
        <is>
          <t>CÓDIGO</t>
        </is>
      </c>
      <c r="B5" s="280" t="inlineStr">
        <is>
          <t>3022</t>
        </is>
      </c>
      <c r="C5" s="299" t="n"/>
      <c r="D5" s="299" t="n"/>
      <c r="E5" s="281" t="n"/>
    </row>
    <row r="6" ht="19.5" customHeight="1" s="163">
      <c r="A6" s="279" t="inlineStr">
        <is>
          <t>TELEFONE</t>
        </is>
      </c>
      <c r="B6" s="280" t="inlineStr">
        <is>
          <t>(24) 2243-9459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PAROQUIAL DE EDUCAÇÃO INFANTIL NOSSA SENHORA APARECIDA</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DR HANS BISTRISCHAN, S/N - CEP 25680-400</t>
        </is>
      </c>
      <c r="C4" s="299" t="n"/>
      <c r="D4" s="299" t="n"/>
      <c r="E4" s="281" t="n"/>
    </row>
    <row r="5" ht="19.5" customHeight="1" s="163">
      <c r="A5" s="279" t="inlineStr">
        <is>
          <t>CÓDIGO</t>
        </is>
      </c>
      <c r="B5" s="280" t="inlineStr">
        <is>
          <t>3024</t>
        </is>
      </c>
      <c r="C5" s="299" t="n"/>
      <c r="D5" s="299" t="n"/>
      <c r="E5" s="281" t="n"/>
    </row>
    <row r="6" ht="19.5" customHeight="1" s="163">
      <c r="A6" s="279" t="inlineStr">
        <is>
          <t>TELEFONE</t>
        </is>
      </c>
      <c r="B6" s="280" t="inlineStr">
        <is>
          <t>(24) 2020-5311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VISTA ALEGRE</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AGNELLO BARREIROS, S/N - CEP 25725-000</t>
        </is>
      </c>
      <c r="C4" s="299" t="n"/>
      <c r="D4" s="299" t="n"/>
      <c r="E4" s="281" t="n"/>
    </row>
    <row r="5" ht="19.5" customHeight="1" s="163">
      <c r="A5" s="279" t="inlineStr">
        <is>
          <t>CÓDIGO</t>
        </is>
      </c>
      <c r="B5" s="280" t="inlineStr">
        <is>
          <t>3025</t>
        </is>
      </c>
      <c r="C5" s="299" t="n"/>
      <c r="D5" s="299" t="n"/>
      <c r="E5" s="281" t="n"/>
    </row>
    <row r="6" ht="19.5" customHeight="1" s="163">
      <c r="A6" s="279" t="inlineStr">
        <is>
          <t>TELEFONE</t>
        </is>
      </c>
      <c r="B6" s="280" t="inlineStr">
        <is>
          <t>(24) 2235-2553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ALDEIA DA CRIANCA</t>
        </is>
      </c>
      <c r="C2" s="299" t="n"/>
      <c r="D2" s="299" t="n"/>
      <c r="E2" s="281" t="n"/>
    </row>
    <row r="3" ht="19.5" customHeight="1" s="163">
      <c r="A3" s="279" t="inlineStr">
        <is>
          <t>BAIRRO</t>
        </is>
      </c>
      <c r="B3" s="280" t="inlineStr">
        <is>
          <t>CONTORNO</t>
        </is>
      </c>
      <c r="C3" s="299" t="n"/>
      <c r="D3" s="299" t="n"/>
      <c r="E3" s="281" t="n"/>
    </row>
    <row r="4" ht="19.5" customHeight="1" s="163">
      <c r="A4" s="279" t="inlineStr">
        <is>
          <t>ENDEREÇO</t>
        </is>
      </c>
      <c r="B4" s="280" t="inlineStr">
        <is>
          <t>BR-040 KM-81, 195 - CEP 25725-592</t>
        </is>
      </c>
      <c r="C4" s="299" t="n"/>
      <c r="D4" s="299" t="n"/>
      <c r="E4" s="281" t="n"/>
    </row>
    <row r="5" ht="19.5" customHeight="1" s="163">
      <c r="A5" s="279" t="inlineStr">
        <is>
          <t>CÓDIGO</t>
        </is>
      </c>
      <c r="B5" s="280" t="inlineStr">
        <is>
          <t>3026</t>
        </is>
      </c>
      <c r="C5" s="299" t="n"/>
      <c r="D5" s="299" t="n"/>
      <c r="E5" s="281" t="n"/>
    </row>
    <row r="6" ht="19.5" customHeight="1" s="163">
      <c r="A6" s="279" t="inlineStr">
        <is>
          <t>TELEFONE</t>
        </is>
      </c>
      <c r="B6" s="280" t="inlineStr">
        <is>
          <t>(24) 2248-9915, (24) 2248-9960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DÉA LÚCIA CORDEIRO</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RUA CRISTOVÃO COLOMBO, 153 - CEP 25640-322</t>
        </is>
      </c>
      <c r="C4" s="299" t="n"/>
      <c r="D4" s="299" t="n"/>
      <c r="E4" s="281" t="n"/>
    </row>
    <row r="5" ht="19.5" customHeight="1" s="163">
      <c r="A5" s="279" t="inlineStr">
        <is>
          <t>CÓDIGO</t>
        </is>
      </c>
      <c r="B5" s="280" t="inlineStr">
        <is>
          <t>3027</t>
        </is>
      </c>
      <c r="C5" s="299" t="n"/>
      <c r="D5" s="299" t="n"/>
      <c r="E5" s="281" t="n"/>
    </row>
    <row r="6" ht="19.5" customHeight="1" s="163">
      <c r="A6" s="279" t="inlineStr">
        <is>
          <t>TELEFONE</t>
        </is>
      </c>
      <c r="B6" s="280" t="inlineStr">
        <is>
          <t>(24) 2231-0268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CAROLINA AMORIM</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MACHADO FAGUNDES, 326 - CEP 25716-001</t>
        </is>
      </c>
      <c r="C4" s="299" t="n"/>
      <c r="D4" s="299" t="n"/>
      <c r="E4" s="281" t="n"/>
    </row>
    <row r="5" ht="19.5" customHeight="1" s="163">
      <c r="A5" s="279" t="inlineStr">
        <is>
          <t>CÓDIGO</t>
        </is>
      </c>
      <c r="B5" s="280" t="inlineStr">
        <is>
          <t>3028</t>
        </is>
      </c>
      <c r="C5" s="299" t="n"/>
      <c r="D5" s="299" t="n"/>
      <c r="E5" s="281" t="n"/>
    </row>
    <row r="6" ht="19.5" customHeight="1" s="163">
      <c r="A6" s="279" t="inlineStr">
        <is>
          <t>TELEFONE</t>
        </is>
      </c>
      <c r="B6" s="280" t="inlineStr">
        <is>
          <t>(24) 2020-2062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IRMÃ SILVANA</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RUA FELIPE CAMARÃO, 310 - CEP 25680-995</t>
        </is>
      </c>
      <c r="C4" s="299" t="n"/>
      <c r="D4" s="299" t="n"/>
      <c r="E4" s="281" t="n"/>
    </row>
    <row r="5" ht="19.5" customHeight="1" s="163">
      <c r="A5" s="279" t="inlineStr">
        <is>
          <t>CÓDIGO</t>
        </is>
      </c>
      <c r="B5" s="280" t="inlineStr">
        <is>
          <t>3029</t>
        </is>
      </c>
      <c r="C5" s="299" t="n"/>
      <c r="D5" s="299" t="n"/>
      <c r="E5" s="281" t="n"/>
    </row>
    <row r="6" ht="19.5" customHeight="1" s="163">
      <c r="A6" s="279" t="inlineStr">
        <is>
          <t>TELEFONE</t>
        </is>
      </c>
      <c r="B6" s="280" t="inlineStr">
        <is>
          <t>(24) 2020-1037, (24) 98867-9639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MARLI SOARES FERREIRA NETTO</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DR.THOUZET/SRV.DHÁLIA J.SILVA, S/N - CEP 25650-061</t>
        </is>
      </c>
      <c r="C4" s="299" t="n"/>
      <c r="D4" s="299" t="n"/>
      <c r="E4" s="281" t="n"/>
    </row>
    <row r="5" ht="19.5" customHeight="1" s="163">
      <c r="A5" s="279" t="inlineStr">
        <is>
          <t>CÓDIGO</t>
        </is>
      </c>
      <c r="B5" s="280" t="inlineStr">
        <is>
          <t>3030</t>
        </is>
      </c>
      <c r="C5" s="299" t="n"/>
      <c r="D5" s="299" t="n"/>
      <c r="E5" s="281" t="n"/>
    </row>
    <row r="6" ht="19.5" customHeight="1" s="163">
      <c r="A6" s="279" t="inlineStr">
        <is>
          <t>TELEFONE</t>
        </is>
      </c>
      <c r="B6" s="280" t="inlineStr">
        <is>
          <t>(24) 2019-7367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SONIA REGINA SCUDESE DESSIMONI PINTO</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IRINEU CORREA, 48 - CEP 25635-070</t>
        </is>
      </c>
      <c r="C4" s="299" t="n"/>
      <c r="D4" s="299" t="n"/>
      <c r="E4" s="281" t="n"/>
    </row>
    <row r="5" ht="19.5" customHeight="1" s="163">
      <c r="A5" s="279" t="inlineStr">
        <is>
          <t>CÓDIGO</t>
        </is>
      </c>
      <c r="B5" s="280" t="inlineStr">
        <is>
          <t>3031</t>
        </is>
      </c>
      <c r="C5" s="299" t="n"/>
      <c r="D5" s="299" t="n"/>
      <c r="E5" s="281" t="n"/>
    </row>
    <row r="6" ht="19.5" customHeight="1" s="163">
      <c r="A6" s="279" t="inlineStr">
        <is>
          <t>TELEFONE</t>
        </is>
      </c>
      <c r="B6" s="280" t="inlineStr">
        <is>
          <t>(24) 2019-0860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DONA ESPERANZA DE BOURBON DE ORLEANS E BRAGANÇA</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PARQUE RESIDENCIAL MOSELA, S/N - CEP 25675-160</t>
        </is>
      </c>
      <c r="C4" s="299" t="n"/>
      <c r="D4" s="299" t="n"/>
      <c r="E4" s="281" t="n"/>
    </row>
    <row r="5" ht="19.5" customHeight="1" s="163">
      <c r="A5" s="279" t="inlineStr">
        <is>
          <t>CÓDIGO</t>
        </is>
      </c>
      <c r="B5" s="280" t="inlineStr">
        <is>
          <t>3032</t>
        </is>
      </c>
      <c r="C5" s="299" t="n"/>
      <c r="D5" s="299" t="n"/>
      <c r="E5" s="281" t="n"/>
    </row>
    <row r="6" ht="19.5" customHeight="1" s="163">
      <c r="A6" s="279" t="inlineStr">
        <is>
          <t>TELEFONE</t>
        </is>
      </c>
      <c r="B6" s="280" t="inlineStr">
        <is>
          <t>(24) 2019-2325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4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PREFEITO SÉRGIO FADEL</t>
        </is>
      </c>
      <c r="C2" s="299" t="n"/>
      <c r="D2" s="299" t="n"/>
      <c r="E2" s="281" t="n"/>
    </row>
    <row r="3" ht="19.5" customHeight="1" s="163">
      <c r="A3" s="279" t="inlineStr">
        <is>
          <t>BAIRRO</t>
        </is>
      </c>
      <c r="B3" s="280" t="inlineStr">
        <is>
          <t>MADAME MACHADO</t>
        </is>
      </c>
      <c r="C3" s="299" t="n"/>
      <c r="D3" s="299" t="n"/>
      <c r="E3" s="281" t="n"/>
    </row>
    <row r="4" ht="19.5" customHeight="1" s="163">
      <c r="A4" s="279" t="inlineStr">
        <is>
          <t>ENDEREÇO</t>
        </is>
      </c>
      <c r="B4" s="280" t="inlineStr">
        <is>
          <t>GERALDO LOURENÇO DIAS, 33 - CEP 25745-710</t>
        </is>
      </c>
      <c r="C4" s="299" t="n"/>
      <c r="D4" s="299" t="n"/>
      <c r="E4" s="281" t="n"/>
    </row>
    <row r="5" ht="19.5" customHeight="1" s="163">
      <c r="A5" s="279" t="inlineStr">
        <is>
          <t>CÓDIGO</t>
        </is>
      </c>
      <c r="B5" s="280" t="inlineStr">
        <is>
          <t>3033</t>
        </is>
      </c>
      <c r="C5" s="299" t="n"/>
      <c r="D5" s="299" t="n"/>
      <c r="E5" s="281" t="n"/>
    </row>
    <row r="6" ht="19.5" customHeight="1" s="163">
      <c r="A6" s="279" t="inlineStr">
        <is>
          <t>TELEFONE</t>
        </is>
      </c>
      <c r="B6" s="280" t="inlineStr">
        <is>
          <t>(24) 2246-9433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ANDRÉ REBOUÇAS</t>
        </is>
      </c>
      <c r="C2" s="299" t="n"/>
      <c r="D2" s="299" t="n"/>
      <c r="E2" s="281" t="n"/>
    </row>
    <row r="3" ht="19.5" customHeight="1" s="163">
      <c r="A3" s="279" t="inlineStr">
        <is>
          <t>BAIRRO</t>
        </is>
      </c>
      <c r="B3" s="280" t="inlineStr">
        <is>
          <t>SÃO SEBASTIÃO</t>
        </is>
      </c>
      <c r="C3" s="299" t="n"/>
      <c r="D3" s="299" t="n"/>
      <c r="E3" s="281" t="n"/>
    </row>
    <row r="4" ht="19.5" customHeight="1" s="163">
      <c r="A4" s="279" t="inlineStr">
        <is>
          <t>ENDEREÇO</t>
        </is>
      </c>
      <c r="B4" s="280" t="inlineStr">
        <is>
          <t>RUA FRANKLIN ROOSEVELT, 11 - CEP 25645-123</t>
        </is>
      </c>
      <c r="C4" s="299" t="n"/>
      <c r="D4" s="299" t="n"/>
      <c r="E4" s="281" t="n"/>
    </row>
    <row r="5" ht="19.5" customHeight="1" s="163">
      <c r="A5" s="279" t="inlineStr">
        <is>
          <t>CÓDIGO</t>
        </is>
      </c>
      <c r="B5" s="280" t="inlineStr">
        <is>
          <t>3034</t>
        </is>
      </c>
      <c r="C5" s="299" t="n"/>
      <c r="D5" s="299" t="n"/>
      <c r="E5" s="281" t="n"/>
    </row>
    <row r="6" ht="19.5" customHeight="1" s="163">
      <c r="A6" s="279" t="inlineStr">
        <is>
          <t>TELEFONE</t>
        </is>
      </c>
      <c r="B6" s="280" t="inlineStr">
        <is>
          <t>(24) 2020-2818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CHIQUINHA ROLLA</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CAMPOS, 1 - CEP 25651-030</t>
        </is>
      </c>
      <c r="C4" s="299" t="n"/>
      <c r="D4" s="299" t="n"/>
      <c r="E4" s="281" t="n"/>
    </row>
    <row r="5" ht="19.5" customHeight="1" s="163">
      <c r="A5" s="279" t="inlineStr">
        <is>
          <t>CÓDIGO</t>
        </is>
      </c>
      <c r="B5" s="280" t="inlineStr">
        <is>
          <t>3035</t>
        </is>
      </c>
      <c r="C5" s="299" t="n"/>
      <c r="D5" s="299" t="n"/>
      <c r="E5" s="281" t="n"/>
    </row>
    <row r="6" ht="19.5" customHeight="1" s="163">
      <c r="A6" s="279" t="inlineStr">
        <is>
          <t>TELEFONE</t>
        </is>
      </c>
      <c r="B6" s="280" t="inlineStr">
        <is>
          <t>(24) 2242-7437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TIA ALICE</t>
        </is>
      </c>
      <c r="C2" s="299" t="n"/>
      <c r="D2" s="299" t="n"/>
      <c r="E2" s="281" t="n"/>
    </row>
    <row r="3" ht="19.5" customHeight="1" s="163">
      <c r="A3" s="279" t="inlineStr">
        <is>
          <t>BAIRRO</t>
        </is>
      </c>
      <c r="B3" s="280" t="inlineStr">
        <is>
          <t>ALTO DA SERRA</t>
        </is>
      </c>
      <c r="C3" s="299" t="n"/>
      <c r="D3" s="299" t="n"/>
      <c r="E3" s="281" t="n"/>
    </row>
    <row r="4" ht="19.5" customHeight="1" s="163">
      <c r="A4" s="279" t="inlineStr">
        <is>
          <t>ENDEREÇO</t>
        </is>
      </c>
      <c r="B4" s="280" t="inlineStr">
        <is>
          <t>RUA CORONEL ALBINO SIQUEIRA, 114 - CEP 25635-130</t>
        </is>
      </c>
      <c r="C4" s="299" t="n"/>
      <c r="D4" s="299" t="n"/>
      <c r="E4" s="281" t="n"/>
    </row>
    <row r="5" ht="19.5" customHeight="1" s="163">
      <c r="A5" s="279" t="inlineStr">
        <is>
          <t>CÓDIGO</t>
        </is>
      </c>
      <c r="B5" s="280" t="inlineStr">
        <is>
          <t>3036</t>
        </is>
      </c>
      <c r="C5" s="299" t="n"/>
      <c r="D5" s="299" t="n"/>
      <c r="E5" s="281" t="n"/>
    </row>
    <row r="6" ht="19.5" customHeight="1" s="163">
      <c r="A6" s="279" t="inlineStr">
        <is>
          <t>TELEFONE</t>
        </is>
      </c>
      <c r="B6" s="280" t="inlineStr">
        <is>
          <t>(24) 2246-1815, (24) 98801-6690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TERRA SANTA</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MONSENHOR BACELAR, 590 - CEP 25685-113</t>
        </is>
      </c>
      <c r="C4" s="299" t="n"/>
      <c r="D4" s="299" t="n"/>
      <c r="E4" s="281" t="n"/>
    </row>
    <row r="5" ht="19.5" customHeight="1" s="163">
      <c r="A5" s="279" t="inlineStr">
        <is>
          <t>CÓDIGO</t>
        </is>
      </c>
      <c r="B5" s="280" t="inlineStr">
        <is>
          <t>3037</t>
        </is>
      </c>
      <c r="C5" s="299" t="n"/>
      <c r="D5" s="299" t="n"/>
      <c r="E5" s="281" t="n"/>
    </row>
    <row r="6" ht="19.5" customHeight="1" s="163">
      <c r="A6" s="279" t="inlineStr">
        <is>
          <t>TELEFONE</t>
        </is>
      </c>
      <c r="B6" s="280" t="inlineStr">
        <is>
          <t>(24) 2231-1403, (24) 98854-7557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JORGE ROLANDO DA SILVA</t>
        </is>
      </c>
      <c r="C2" s="299" t="n"/>
      <c r="D2" s="299" t="n"/>
      <c r="E2" s="281" t="n"/>
    </row>
    <row r="3" ht="19.5" customHeight="1" s="163">
      <c r="A3" s="279" t="inlineStr">
        <is>
          <t>BAIRRO</t>
        </is>
      </c>
      <c r="B3" s="280" t="inlineStr">
        <is>
          <t>MORIN</t>
        </is>
      </c>
      <c r="C3" s="299" t="n"/>
      <c r="D3" s="299" t="n"/>
      <c r="E3" s="281" t="n"/>
    </row>
    <row r="4" ht="19.5" customHeight="1" s="163">
      <c r="A4" s="279" t="inlineStr">
        <is>
          <t>ENDEREÇO</t>
        </is>
      </c>
      <c r="B4" s="280" t="inlineStr">
        <is>
          <t>RUA ANÉSIO DE OLIVEIRA, 111 - CEP 25630-080</t>
        </is>
      </c>
      <c r="C4" s="299" t="n"/>
      <c r="D4" s="299" t="n"/>
      <c r="E4" s="281" t="n"/>
    </row>
    <row r="5" ht="19.5" customHeight="1" s="163">
      <c r="A5" s="279" t="inlineStr">
        <is>
          <t>CÓDIGO</t>
        </is>
      </c>
      <c r="B5" s="280" t="inlineStr">
        <is>
          <t>3038</t>
        </is>
      </c>
      <c r="C5" s="299" t="n"/>
      <c r="D5" s="299" t="n"/>
      <c r="E5" s="281" t="n"/>
    </row>
    <row r="6" ht="19.5" customHeight="1" s="163">
      <c r="A6" s="279" t="inlineStr">
        <is>
          <t>TELEFONE</t>
        </is>
      </c>
      <c r="B6" s="280" t="inlineStr">
        <is>
          <t>(24) 2249-2571, (24) 98803-4864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CARANGOLA</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ESTRADA DO CARANGOLA, 933 - CEP 25715-221</t>
        </is>
      </c>
      <c r="C4" s="299" t="n"/>
      <c r="D4" s="299" t="n"/>
      <c r="E4" s="281" t="n"/>
    </row>
    <row r="5" ht="19.5" customHeight="1" s="163">
      <c r="A5" s="279" t="inlineStr">
        <is>
          <t>CÓDIGO</t>
        </is>
      </c>
      <c r="B5" s="280" t="inlineStr">
        <is>
          <t>3039</t>
        </is>
      </c>
      <c r="C5" s="299" t="n"/>
      <c r="D5" s="299" t="n"/>
      <c r="E5" s="281" t="n"/>
    </row>
    <row r="6" ht="19.5" customHeight="1" s="163">
      <c r="A6" s="279" t="inlineStr">
        <is>
          <t>TELEFONE</t>
        </is>
      </c>
      <c r="B6" s="280" t="inlineStr">
        <is>
          <t>(24) 2246-9229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CÉLIA LÔBO PAULO</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ESTRADA DO INDEPENDÊNCIA, 1230 - CEP 25645-343</t>
        </is>
      </c>
      <c r="C4" s="299" t="n"/>
      <c r="D4" s="299" t="n"/>
      <c r="E4" s="281" t="n"/>
    </row>
    <row r="5" ht="19.5" customHeight="1" s="163">
      <c r="A5" s="279" t="inlineStr">
        <is>
          <t>CÓDIGO</t>
        </is>
      </c>
      <c r="B5" s="280" t="inlineStr">
        <is>
          <t>3040</t>
        </is>
      </c>
      <c r="C5" s="299" t="n"/>
      <c r="D5" s="299" t="n"/>
      <c r="E5" s="281" t="n"/>
    </row>
    <row r="6" ht="19.5" customHeight="1" s="163">
      <c r="A6" s="279" t="inlineStr">
        <is>
          <t>TELEFONE</t>
        </is>
      </c>
      <c r="B6" s="280" t="inlineStr">
        <is>
          <t>(24) 2020-2683, (24) 99986-5289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LIONS CLUBE DE PETRÓPOLIS</t>
        </is>
      </c>
      <c r="C2" s="299" t="n"/>
      <c r="D2" s="299" t="n"/>
      <c r="E2" s="281" t="n"/>
    </row>
    <row r="3" ht="19.5" customHeight="1" s="163">
      <c r="A3" s="279" t="inlineStr">
        <is>
          <t>BAIRRO</t>
        </is>
      </c>
      <c r="B3" s="280" t="inlineStr">
        <is>
          <t>VALPARAÍSO</t>
        </is>
      </c>
      <c r="C3" s="299" t="n"/>
      <c r="D3" s="299" t="n"/>
      <c r="E3" s="281" t="n"/>
    </row>
    <row r="4" ht="19.5" customHeight="1" s="163">
      <c r="A4" s="279" t="inlineStr">
        <is>
          <t>ENDEREÇO</t>
        </is>
      </c>
      <c r="B4" s="280" t="inlineStr">
        <is>
          <t>RUA ROCKFELLER, 243 - CEP 25655-090</t>
        </is>
      </c>
      <c r="C4" s="299" t="n"/>
      <c r="D4" s="299" t="n"/>
      <c r="E4" s="281" t="n"/>
    </row>
    <row r="5" ht="19.5" customHeight="1" s="163">
      <c r="A5" s="279" t="inlineStr">
        <is>
          <t>CÓDIGO</t>
        </is>
      </c>
      <c r="B5" s="280" t="inlineStr">
        <is>
          <t>3041</t>
        </is>
      </c>
      <c r="C5" s="299" t="n"/>
      <c r="D5" s="299" t="n"/>
      <c r="E5" s="281" t="n"/>
    </row>
    <row r="6" ht="19.5" customHeight="1" s="163">
      <c r="A6" s="279" t="inlineStr">
        <is>
          <t>TELEFONE</t>
        </is>
      </c>
      <c r="B6" s="280" t="inlineStr">
        <is>
          <t>(24) 2243-2886, (24) 98182-7588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GRAÇA COSTA</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RUA EMÍLIO ZANATTA, 767 - CEP 25750-100</t>
        </is>
      </c>
      <c r="C4" s="299" t="n"/>
      <c r="D4" s="299" t="n"/>
      <c r="E4" s="281" t="n"/>
    </row>
    <row r="5" ht="19.5" customHeight="1" s="163">
      <c r="A5" s="279" t="inlineStr">
        <is>
          <t>CÓDIGO</t>
        </is>
      </c>
      <c r="B5" s="280" t="inlineStr">
        <is>
          <t>3043</t>
        </is>
      </c>
      <c r="C5" s="299" t="n"/>
      <c r="D5" s="299" t="n"/>
      <c r="E5" s="281" t="n"/>
    </row>
    <row r="6" ht="19.5" customHeight="1" s="163">
      <c r="A6" s="279" t="inlineStr">
        <is>
          <t>TELEFONE</t>
        </is>
      </c>
      <c r="B6" s="280" t="inlineStr">
        <is>
          <t>(24) 2223-5289, (24) 98808-6118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5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ANGELA MARIA DA CONCEIÇÃO SILVA</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ESTRADA UNIÃO INDÚSTRIA, 33666 - CEP 25770-480</t>
        </is>
      </c>
      <c r="C4" s="299" t="n"/>
      <c r="D4" s="299" t="n"/>
      <c r="E4" s="281" t="n"/>
    </row>
    <row r="5" ht="19.5" customHeight="1" s="163">
      <c r="A5" s="279" t="inlineStr">
        <is>
          <t>CÓDIGO</t>
        </is>
      </c>
      <c r="B5" s="280" t="inlineStr">
        <is>
          <t>3044</t>
        </is>
      </c>
      <c r="C5" s="299" t="n"/>
      <c r="D5" s="299" t="n"/>
      <c r="E5" s="281" t="n"/>
    </row>
    <row r="6" ht="19.5" customHeight="1" s="163">
      <c r="A6" s="279" t="inlineStr">
        <is>
          <t>TELEFONE</t>
        </is>
      </c>
      <c r="B6" s="280" t="inlineStr">
        <is>
          <t>(24) 2246-9324, (24) 99259-4303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LUIZ MARCHIORI</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DO GENTIL, 1906 - CEP 25745-060</t>
        </is>
      </c>
      <c r="C4" s="299" t="n"/>
      <c r="D4" s="299" t="n"/>
      <c r="E4" s="281" t="n"/>
    </row>
    <row r="5" ht="19.5" customHeight="1" s="163">
      <c r="A5" s="279" t="inlineStr">
        <is>
          <t>CÓDIGO</t>
        </is>
      </c>
      <c r="B5" s="280" t="inlineStr">
        <is>
          <t>3045</t>
        </is>
      </c>
      <c r="C5" s="299" t="n"/>
      <c r="D5" s="299" t="n"/>
      <c r="E5" s="281" t="n"/>
    </row>
    <row r="6" ht="19.5" customHeight="1" s="163">
      <c r="A6" s="279" t="inlineStr">
        <is>
          <t>TELEFONE</t>
        </is>
      </c>
      <c r="B6" s="280" t="inlineStr">
        <is>
          <t>(24) 2020-0750, (24) 99968-2860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MARLUCE DE SOUZA PESTANA</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BONFIM, 3046 - CEP 25730-010</t>
        </is>
      </c>
      <c r="C4" s="299" t="n"/>
      <c r="D4" s="299" t="n"/>
      <c r="E4" s="281" t="n"/>
    </row>
    <row r="5" ht="19.5" customHeight="1" s="163">
      <c r="A5" s="279" t="inlineStr">
        <is>
          <t>CÓDIGO</t>
        </is>
      </c>
      <c r="B5" s="280" t="inlineStr">
        <is>
          <t>3047</t>
        </is>
      </c>
      <c r="C5" s="299" t="n"/>
      <c r="D5" s="299" t="n"/>
      <c r="E5" s="281" t="n"/>
    </row>
    <row r="6" ht="19.5" customHeight="1" s="163">
      <c r="A6" s="279" t="inlineStr">
        <is>
          <t>TELEFONE</t>
        </is>
      </c>
      <c r="B6" s="280" t="inlineStr">
        <is>
          <t>(24) 2236-0202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OLÍVIA MACHADO DA COSTA NOGUEIRA</t>
        </is>
      </c>
      <c r="C2" s="299" t="n"/>
      <c r="D2" s="299" t="n"/>
      <c r="E2" s="281" t="n"/>
    </row>
    <row r="3" ht="19.5" customHeight="1" s="163">
      <c r="A3" s="279" t="inlineStr">
        <is>
          <t>BAIRRO</t>
        </is>
      </c>
      <c r="B3" s="280" t="inlineStr">
        <is>
          <t>RETIRO</t>
        </is>
      </c>
      <c r="C3" s="299" t="n"/>
      <c r="D3" s="299" t="n"/>
      <c r="E3" s="281" t="n"/>
    </row>
    <row r="4" ht="19.5" customHeight="1" s="163">
      <c r="A4" s="279" t="inlineStr">
        <is>
          <t>ENDEREÇO</t>
        </is>
      </c>
      <c r="B4" s="280" t="inlineStr">
        <is>
          <t>RUA HENRIQUE DIAS, 100 - CEP 25680-301</t>
        </is>
      </c>
      <c r="C4" s="299" t="n"/>
      <c r="D4" s="299" t="n"/>
      <c r="E4" s="281" t="n"/>
    </row>
    <row r="5" ht="19.5" customHeight="1" s="163">
      <c r="A5" s="279" t="inlineStr">
        <is>
          <t>CÓDIGO</t>
        </is>
      </c>
      <c r="B5" s="280" t="inlineStr">
        <is>
          <t>3048</t>
        </is>
      </c>
      <c r="C5" s="299" t="n"/>
      <c r="D5" s="299" t="n"/>
      <c r="E5" s="281" t="n"/>
    </row>
    <row r="6" ht="19.5" customHeight="1" s="163">
      <c r="A6" s="279" t="inlineStr">
        <is>
          <t>TELEFONE</t>
        </is>
      </c>
      <c r="B6" s="280" t="inlineStr">
        <is>
          <t>(24) 2246-8737, (24) 2020-9938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VILA IPANEMA</t>
        </is>
      </c>
      <c r="C2" s="299" t="n"/>
      <c r="D2" s="299" t="n"/>
      <c r="E2" s="281" t="n"/>
    </row>
    <row r="3" ht="19.5" customHeight="1" s="163">
      <c r="A3" s="279" t="inlineStr">
        <is>
          <t>BAIRRO</t>
        </is>
      </c>
      <c r="B3" s="280" t="inlineStr">
        <is>
          <t>QUITANDINHA</t>
        </is>
      </c>
      <c r="C3" s="299" t="n"/>
      <c r="D3" s="299" t="n"/>
      <c r="E3" s="281" t="n"/>
    </row>
    <row r="4" ht="19.5" customHeight="1" s="163">
      <c r="A4" s="279" t="inlineStr">
        <is>
          <t>ENDEREÇO</t>
        </is>
      </c>
      <c r="B4" s="280" t="inlineStr">
        <is>
          <t>RUA VASSOURAS, S/N - CEP 25650-500</t>
        </is>
      </c>
      <c r="C4" s="299" t="n"/>
      <c r="D4" s="299" t="n"/>
      <c r="E4" s="281" t="n"/>
    </row>
    <row r="5" ht="19.5" customHeight="1" s="163">
      <c r="A5" s="279" t="inlineStr">
        <is>
          <t>CÓDIGO</t>
        </is>
      </c>
      <c r="B5" s="280" t="inlineStr">
        <is>
          <t>3049</t>
        </is>
      </c>
      <c r="C5" s="299" t="n"/>
      <c r="D5" s="299" t="n"/>
      <c r="E5" s="281" t="n"/>
    </row>
    <row r="6" ht="19.5" customHeight="1" s="163">
      <c r="A6" s="279" t="inlineStr">
        <is>
          <t>TELEFONE</t>
        </is>
      </c>
      <c r="B6" s="280" t="inlineStr">
        <is>
          <t>(24) 2235-1036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VILA LEOPOLDINA</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RUA EUGENIO ZANATTA, S/N - CEP 25750-300</t>
        </is>
      </c>
      <c r="C4" s="299" t="n"/>
      <c r="D4" s="299" t="n"/>
      <c r="E4" s="281" t="n"/>
    </row>
    <row r="5" ht="19.5" customHeight="1" s="163">
      <c r="A5" s="279" t="inlineStr">
        <is>
          <t>CÓDIGO</t>
        </is>
      </c>
      <c r="B5" s="280" t="inlineStr">
        <is>
          <t>3050</t>
        </is>
      </c>
      <c r="C5" s="299" t="n"/>
      <c r="D5" s="299" t="n"/>
      <c r="E5" s="281" t="n"/>
    </row>
    <row r="6" ht="19.5" customHeight="1" s="163">
      <c r="A6" s="279" t="inlineStr">
        <is>
          <t>TELEFONE</t>
        </is>
      </c>
      <c r="B6" s="280" t="inlineStr">
        <is>
          <t>(24) 98844-5754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CASA DA PAZ</t>
        </is>
      </c>
      <c r="C2" s="299" t="n"/>
      <c r="D2" s="299" t="n"/>
      <c r="E2" s="281" t="n"/>
    </row>
    <row r="3" ht="19.5" customHeight="1" s="163">
      <c r="A3" s="279" t="inlineStr">
        <is>
          <t>BAIRRO</t>
        </is>
      </c>
      <c r="B3" s="280" t="inlineStr">
        <is>
          <t>VALE DO CARANGOLA</t>
        </is>
      </c>
      <c r="C3" s="299" t="n"/>
      <c r="D3" s="299" t="n"/>
      <c r="E3" s="281" t="n"/>
    </row>
    <row r="4" ht="19.5" customHeight="1" s="163">
      <c r="A4" s="279" t="inlineStr">
        <is>
          <t>ENDEREÇO</t>
        </is>
      </c>
      <c r="B4" s="280" t="inlineStr">
        <is>
          <t>RUA DA CRECHE, 14 - CEP 25715-408</t>
        </is>
      </c>
      <c r="C4" s="299" t="n"/>
      <c r="D4" s="299" t="n"/>
      <c r="E4" s="281" t="n"/>
    </row>
    <row r="5" ht="19.5" customHeight="1" s="163">
      <c r="A5" s="279" t="inlineStr">
        <is>
          <t>CÓDIGO</t>
        </is>
      </c>
      <c r="B5" s="280" t="inlineStr">
        <is>
          <t>3051</t>
        </is>
      </c>
      <c r="C5" s="299" t="n"/>
      <c r="D5" s="299" t="n"/>
      <c r="E5" s="281" t="n"/>
    </row>
    <row r="6" ht="19.5" customHeight="1" s="163">
      <c r="A6" s="279" t="inlineStr">
        <is>
          <t>TELEFONE</t>
        </is>
      </c>
      <c r="B6" s="280" t="inlineStr">
        <is>
          <t>(24) 2006-0195, (24) 98812-1821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PRIMEIRA INFÂNCIA</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BUARQUE DE MACEDO, 63 - CEP 25625-290</t>
        </is>
      </c>
      <c r="C4" s="299" t="n"/>
      <c r="D4" s="299" t="n"/>
      <c r="E4" s="281" t="n"/>
    </row>
    <row r="5" ht="19.5" customHeight="1" s="163">
      <c r="A5" s="279" t="inlineStr">
        <is>
          <t>CÓDIGO</t>
        </is>
      </c>
      <c r="B5" s="280" t="inlineStr">
        <is>
          <t>3052</t>
        </is>
      </c>
      <c r="C5" s="299" t="n"/>
      <c r="D5" s="299" t="n"/>
      <c r="E5" s="281" t="n"/>
    </row>
    <row r="6" ht="19.5" customHeight="1" s="163">
      <c r="A6" s="279" t="inlineStr">
        <is>
          <t>TELEFONE</t>
        </is>
      </c>
      <c r="B6" s="280" t="inlineStr">
        <is>
          <t>(24) 2244-7492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DORA KILLER</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RUA EMÍLIO ZALUAR, 314 - CEP 25645-280</t>
        </is>
      </c>
      <c r="C4" s="299" t="n"/>
      <c r="D4" s="299" t="n"/>
      <c r="E4" s="281" t="n"/>
    </row>
    <row r="5" ht="19.5" customHeight="1" s="163">
      <c r="A5" s="279" t="inlineStr">
        <is>
          <t>CÓDIGO</t>
        </is>
      </c>
      <c r="B5" s="280" t="inlineStr">
        <is>
          <t>3053</t>
        </is>
      </c>
      <c r="C5" s="299" t="n"/>
      <c r="D5" s="299" t="n"/>
      <c r="E5" s="281" t="n"/>
    </row>
    <row r="6" ht="19.5" customHeight="1" s="163">
      <c r="A6" s="279" t="inlineStr">
        <is>
          <t>TELEFONE</t>
        </is>
      </c>
      <c r="B6" s="280" t="inlineStr">
        <is>
          <t>(24) 2244-7248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PATRÍCIA FERREIRA E SILVA FREITAS</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CASIMIRO DE ABREU, 26 - CEP 25615-002</t>
        </is>
      </c>
      <c r="C4" s="299" t="n"/>
      <c r="D4" s="299" t="n"/>
      <c r="E4" s="281" t="n"/>
    </row>
    <row r="5" ht="19.5" customHeight="1" s="163">
      <c r="A5" s="279" t="inlineStr">
        <is>
          <t>CÓDIGO</t>
        </is>
      </c>
      <c r="B5" s="280" t="inlineStr">
        <is>
          <t>3054</t>
        </is>
      </c>
      <c r="C5" s="299" t="n"/>
      <c r="D5" s="299" t="n"/>
      <c r="E5" s="281" t="n"/>
    </row>
    <row r="6" ht="19.5" customHeight="1" s="163">
      <c r="A6" s="279" t="inlineStr">
        <is>
          <t>TELEFONE</t>
        </is>
      </c>
      <c r="B6" s="280" t="inlineStr">
        <is>
          <t>(24) 2243-7762, (24) 2019-0962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6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DRA ZILDA ARNS NEUMANN</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SANTOS DUMONT, 786 - CEP 25625-090</t>
        </is>
      </c>
      <c r="C4" s="299" t="n"/>
      <c r="D4" s="299" t="n"/>
      <c r="E4" s="281" t="n"/>
    </row>
    <row r="5" ht="19.5" customHeight="1" s="163">
      <c r="A5" s="279" t="inlineStr">
        <is>
          <t>CÓDIGO</t>
        </is>
      </c>
      <c r="B5" s="280" t="inlineStr">
        <is>
          <t>3055</t>
        </is>
      </c>
      <c r="C5" s="299" t="n"/>
      <c r="D5" s="299" t="n"/>
      <c r="E5" s="281" t="n"/>
    </row>
    <row r="6" ht="19.5" customHeight="1" s="163">
      <c r="A6" s="279" t="inlineStr">
        <is>
          <t>TELEFONE</t>
        </is>
      </c>
      <c r="B6" s="280" t="inlineStr">
        <is>
          <t>(24) 2245-6869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DENISE BESSA DE OLIVA MAYA</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ESTRADA BERNARDO COUTINHO, 526 - CEP 25725-020</t>
        </is>
      </c>
      <c r="C4" s="299" t="n"/>
      <c r="D4" s="299" t="n"/>
      <c r="E4" s="281" t="n"/>
    </row>
    <row r="5" ht="19.5" customHeight="1" s="163">
      <c r="A5" s="279" t="inlineStr">
        <is>
          <t>CÓDIGO</t>
        </is>
      </c>
      <c r="B5" s="280" t="inlineStr">
        <is>
          <t>3056</t>
        </is>
      </c>
      <c r="C5" s="299" t="n"/>
      <c r="D5" s="299" t="n"/>
      <c r="E5" s="281" t="n"/>
    </row>
    <row r="6" ht="19.5" customHeight="1" s="163">
      <c r="A6" s="279" t="inlineStr">
        <is>
          <t>TELEFONE</t>
        </is>
      </c>
      <c r="B6" s="280" t="inlineStr">
        <is>
          <t>(24) 2225-1136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GIUSEPPE-NEVA VOLONTERIO</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CARLOS GOMES, 180 - CEP 25680-020</t>
        </is>
      </c>
      <c r="C4" s="299" t="n"/>
      <c r="D4" s="299" t="n"/>
      <c r="E4" s="281" t="n"/>
    </row>
    <row r="5" ht="19.5" customHeight="1" s="163">
      <c r="A5" s="279" t="inlineStr">
        <is>
          <t>CÓDIGO</t>
        </is>
      </c>
      <c r="B5" s="280" t="inlineStr">
        <is>
          <t>3057</t>
        </is>
      </c>
      <c r="C5" s="299" t="n"/>
      <c r="D5" s="299" t="n"/>
      <c r="E5" s="281" t="n"/>
    </row>
    <row r="6" ht="19.5" customHeight="1" s="163">
      <c r="A6" s="279" t="inlineStr">
        <is>
          <t>TELEFONE</t>
        </is>
      </c>
      <c r="B6" s="280" t="inlineStr">
        <is>
          <t>(24) 2242-6607, (24) 2017-3874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LOTA MACEDO SOARES</t>
        </is>
      </c>
      <c r="C2" s="299" t="n"/>
      <c r="D2" s="299" t="n"/>
      <c r="E2" s="281" t="n"/>
    </row>
    <row r="3" ht="19.5" customHeight="1" s="163">
      <c r="A3" s="279" t="inlineStr">
        <is>
          <t>BAIRRO</t>
        </is>
      </c>
      <c r="B3" s="280" t="inlineStr">
        <is>
          <t>SAMAMBAIA</t>
        </is>
      </c>
      <c r="C3" s="299" t="n"/>
      <c r="D3" s="299" t="n"/>
      <c r="E3" s="281" t="n"/>
    </row>
    <row r="4" ht="19.5" customHeight="1" s="163">
      <c r="A4" s="279" t="inlineStr">
        <is>
          <t>ENDEREÇO</t>
        </is>
      </c>
      <c r="B4" s="280" t="inlineStr">
        <is>
          <t>ENGENHEIRO DURVAL DE SOUZA, 142 - CEP 25710-320</t>
        </is>
      </c>
      <c r="C4" s="299" t="n"/>
      <c r="D4" s="299" t="n"/>
      <c r="E4" s="281" t="n"/>
    </row>
    <row r="5" ht="19.5" customHeight="1" s="163">
      <c r="A5" s="279" t="inlineStr">
        <is>
          <t>CÓDIGO</t>
        </is>
      </c>
      <c r="B5" s="280" t="inlineStr">
        <is>
          <t>3058</t>
        </is>
      </c>
      <c r="C5" s="299" t="n"/>
      <c r="D5" s="299" t="n"/>
      <c r="E5" s="281" t="n"/>
    </row>
    <row r="6" ht="19.5" customHeight="1" s="163">
      <c r="A6" s="279" t="inlineStr">
        <is>
          <t>TELEFONE</t>
        </is>
      </c>
      <c r="B6" s="280" t="inlineStr">
        <is>
          <t>(24) 2291-3344, (24) 2245-4731</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IRINEU MARINHO</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ALVARES DE AZEVEDO, 83 - CEP 25730-020</t>
        </is>
      </c>
      <c r="C4" s="299" t="n"/>
      <c r="D4" s="299" t="n"/>
      <c r="E4" s="281" t="n"/>
    </row>
    <row r="5" ht="19.5" customHeight="1" s="163">
      <c r="A5" s="279" t="inlineStr">
        <is>
          <t>CÓDIGO</t>
        </is>
      </c>
      <c r="B5" s="280" t="inlineStr">
        <is>
          <t>3059</t>
        </is>
      </c>
      <c r="C5" s="299" t="n"/>
      <c r="D5" s="299" t="n"/>
      <c r="E5" s="281" t="n"/>
    </row>
    <row r="6" ht="19.5" customHeight="1" s="163">
      <c r="A6" s="279" t="inlineStr">
        <is>
          <t>TELEFONE</t>
        </is>
      </c>
      <c r="B6" s="280" t="inlineStr">
        <is>
          <t>(24) 2017-8623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OSWALDO CRUZ</t>
        </is>
      </c>
      <c r="C2" s="299" t="n"/>
      <c r="D2" s="299" t="n"/>
      <c r="E2" s="281" t="n"/>
    </row>
    <row r="3" ht="19.5" customHeight="1" s="163">
      <c r="A3" s="279" t="inlineStr">
        <is>
          <t>BAIRRO</t>
        </is>
      </c>
      <c r="B3" s="280" t="inlineStr">
        <is>
          <t>QUARTEIRÃO INGELHEIM</t>
        </is>
      </c>
      <c r="C3" s="299" t="n"/>
      <c r="D3" s="299" t="n"/>
      <c r="E3" s="281" t="n"/>
    </row>
    <row r="4" ht="19.5" customHeight="1" s="163">
      <c r="A4" s="279" t="inlineStr">
        <is>
          <t>ENDEREÇO</t>
        </is>
      </c>
      <c r="B4" s="280" t="inlineStr">
        <is>
          <t>RUA INGELHEIM, 643 - CEP 25675-540</t>
        </is>
      </c>
      <c r="C4" s="299" t="n"/>
      <c r="D4" s="299" t="n"/>
      <c r="E4" s="281" t="n"/>
    </row>
    <row r="5" ht="19.5" customHeight="1" s="163">
      <c r="A5" s="279" t="inlineStr">
        <is>
          <t>CÓDIGO</t>
        </is>
      </c>
      <c r="B5" s="280" t="inlineStr">
        <is>
          <t>3060</t>
        </is>
      </c>
      <c r="C5" s="299" t="n"/>
      <c r="D5" s="299" t="n"/>
      <c r="E5" s="281" t="n"/>
    </row>
    <row r="6" ht="19.5" customHeight="1" s="163">
      <c r="A6" s="279" t="inlineStr">
        <is>
          <t>TELEFONE</t>
        </is>
      </c>
      <c r="B6" s="280" t="inlineStr">
        <is>
          <t>(24) 2243-4721, (24) 99920-5057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ANA CAROLINA TELLES</t>
        </is>
      </c>
      <c r="C2" s="299" t="n"/>
      <c r="D2" s="299" t="n"/>
      <c r="E2" s="281" t="n"/>
    </row>
    <row r="3" ht="19.5" customHeight="1" s="163">
      <c r="A3" s="279" t="inlineStr">
        <is>
          <t>BAIRRO</t>
        </is>
      </c>
      <c r="B3" s="280" t="inlineStr">
        <is>
          <t>DUQUES</t>
        </is>
      </c>
      <c r="C3" s="299" t="n"/>
      <c r="D3" s="299" t="n"/>
      <c r="E3" s="281" t="n"/>
    </row>
    <row r="4" ht="19.5" customHeight="1" s="163">
      <c r="A4" s="279" t="inlineStr">
        <is>
          <t>ENDEREÇO</t>
        </is>
      </c>
      <c r="B4" s="280" t="inlineStr">
        <is>
          <t>ESTRADA RIO PETRÓPOLIS KM 85, S/N - CEP 25650-001</t>
        </is>
      </c>
      <c r="C4" s="299" t="n"/>
      <c r="D4" s="299" t="n"/>
      <c r="E4" s="281" t="n"/>
    </row>
    <row r="5" ht="19.5" customHeight="1" s="163">
      <c r="A5" s="279" t="inlineStr">
        <is>
          <t>CÓDIGO</t>
        </is>
      </c>
      <c r="B5" s="280" t="inlineStr">
        <is>
          <t>3061</t>
        </is>
      </c>
      <c r="C5" s="299" t="n"/>
      <c r="D5" s="299" t="n"/>
      <c r="E5" s="281" t="n"/>
    </row>
    <row r="6" ht="19.5" customHeight="1" s="163">
      <c r="A6" s="279" t="inlineStr">
        <is>
          <t>TELEFONE</t>
        </is>
      </c>
      <c r="B6" s="280" t="inlineStr">
        <is>
          <t>(24) 2242-1643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JOSÉ GONÇALVES DA MOTTA</t>
        </is>
      </c>
      <c r="C2" s="299" t="n"/>
      <c r="D2" s="299" t="n"/>
      <c r="E2" s="281" t="n"/>
    </row>
    <row r="3" ht="19.5" customHeight="1" s="163">
      <c r="A3" s="279" t="inlineStr">
        <is>
          <t>BAIRRO</t>
        </is>
      </c>
      <c r="B3" s="280" t="inlineStr">
        <is>
          <t>POSSE</t>
        </is>
      </c>
      <c r="C3" s="299" t="n"/>
      <c r="D3" s="299" t="n"/>
      <c r="E3" s="281" t="n"/>
    </row>
    <row r="4" ht="19.5" customHeight="1" s="163">
      <c r="A4" s="279" t="inlineStr">
        <is>
          <t>ENDEREÇO</t>
        </is>
      </c>
      <c r="B4" s="280" t="inlineStr">
        <is>
          <t>RUA JOÃO DE FARIAS, S/N - CEP 25770-090</t>
        </is>
      </c>
      <c r="C4" s="299" t="n"/>
      <c r="D4" s="299" t="n"/>
      <c r="E4" s="281" t="n"/>
    </row>
    <row r="5" ht="19.5" customHeight="1" s="163">
      <c r="A5" s="279" t="inlineStr">
        <is>
          <t>CÓDIGO</t>
        </is>
      </c>
      <c r="B5" s="280" t="inlineStr">
        <is>
          <t>3062</t>
        </is>
      </c>
      <c r="C5" s="299" t="n"/>
      <c r="D5" s="299" t="n"/>
      <c r="E5" s="281" t="n"/>
    </row>
    <row r="6" ht="19.5" customHeight="1" s="163">
      <c r="A6" s="279" t="inlineStr">
        <is>
          <t>TELEFONE</t>
        </is>
      </c>
      <c r="B6" s="280" t="inlineStr">
        <is>
          <t>(24) 2247-9762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SAGRADA FAMÍLIA</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ESTRADA DO PARAÍSO, PROX AO 715 - CEP 25635-410</t>
        </is>
      </c>
      <c r="C4" s="299" t="n"/>
      <c r="D4" s="299" t="n"/>
      <c r="E4" s="281" t="n"/>
    </row>
    <row r="5" ht="19.5" customHeight="1" s="163">
      <c r="A5" s="279" t="inlineStr">
        <is>
          <t>CÓDIGO</t>
        </is>
      </c>
      <c r="B5" s="280" t="inlineStr">
        <is>
          <t>3064</t>
        </is>
      </c>
      <c r="C5" s="299" t="n"/>
      <c r="D5" s="299" t="n"/>
      <c r="E5" s="281" t="n"/>
    </row>
    <row r="6" ht="19.5" customHeight="1" s="163">
      <c r="A6" s="279" t="inlineStr">
        <is>
          <t>TELEFONE</t>
        </is>
      </c>
      <c r="B6" s="280" t="inlineStr">
        <is>
          <t>(24) 98821-2940, (24) 2248-6309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HERMÍNIA MATHEUS</t>
        </is>
      </c>
      <c r="C2" s="299" t="n"/>
      <c r="D2" s="299" t="n"/>
      <c r="E2" s="281" t="n"/>
    </row>
    <row r="3" ht="19.5" customHeight="1" s="163">
      <c r="A3" s="279" t="inlineStr">
        <is>
          <t>BAIRRO</t>
        </is>
      </c>
      <c r="B3" s="280" t="inlineStr">
        <is>
          <t>SÃO SEBASTIÃO</t>
        </is>
      </c>
      <c r="C3" s="299" t="n"/>
      <c r="D3" s="299" t="n"/>
      <c r="E3" s="281" t="n"/>
    </row>
    <row r="4" ht="19.5" customHeight="1" s="163">
      <c r="A4" s="279" t="inlineStr">
        <is>
          <t>ENDEREÇO</t>
        </is>
      </c>
      <c r="B4" s="280" t="inlineStr">
        <is>
          <t>RUA FLORINDO DUARTE, S/N - CEP 25645-707</t>
        </is>
      </c>
      <c r="C4" s="299" t="n"/>
      <c r="D4" s="299" t="n"/>
      <c r="E4" s="281" t="n"/>
    </row>
    <row r="5" ht="19.5" customHeight="1" s="163">
      <c r="A5" s="279" t="inlineStr">
        <is>
          <t>CÓDIGO</t>
        </is>
      </c>
      <c r="B5" s="280" t="inlineStr">
        <is>
          <t>3065</t>
        </is>
      </c>
      <c r="C5" s="299" t="n"/>
      <c r="D5" s="299" t="n"/>
      <c r="E5" s="281" t="n"/>
    </row>
    <row r="6" ht="19.5" customHeight="1" s="163">
      <c r="A6" s="279" t="inlineStr">
        <is>
          <t>TELEFONE</t>
        </is>
      </c>
      <c r="B6" s="280" t="inlineStr">
        <is>
          <t>(24) 2291-6426, (24) 2020-5903</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7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PROFESSORA TINA GRAZINOLI</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VISCONDE DO BOM RETIRO, 165 - CEP 25625-023</t>
        </is>
      </c>
      <c r="C4" s="299" t="n"/>
      <c r="D4" s="299" t="n"/>
      <c r="E4" s="281" t="n"/>
    </row>
    <row r="5" ht="19.5" customHeight="1" s="163">
      <c r="A5" s="279" t="inlineStr">
        <is>
          <t>CÓDIGO</t>
        </is>
      </c>
      <c r="B5" s="280" t="inlineStr">
        <is>
          <t>3066</t>
        </is>
      </c>
      <c r="C5" s="299" t="n"/>
      <c r="D5" s="299" t="n"/>
      <c r="E5" s="281" t="n"/>
    </row>
    <row r="6" ht="19.5" customHeight="1" s="163">
      <c r="A6" s="279" t="inlineStr">
        <is>
          <t>TELEFONE</t>
        </is>
      </c>
      <c r="B6" s="280" t="inlineStr">
        <is>
          <t>(24) 2246-3494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MONSENHOR PAULO ELIAS DAHER CHÉDIER</t>
        </is>
      </c>
      <c r="C2" s="299" t="n"/>
      <c r="D2" s="299" t="n"/>
      <c r="E2" s="281" t="n"/>
    </row>
    <row r="3" ht="19.5" customHeight="1" s="163">
      <c r="A3" s="279" t="inlineStr">
        <is>
          <t>BAIRRO</t>
        </is>
      </c>
      <c r="B3" s="280" t="inlineStr">
        <is>
          <t>CENTRO</t>
        </is>
      </c>
      <c r="C3" s="299" t="n"/>
      <c r="D3" s="299" t="n"/>
      <c r="E3" s="281" t="n"/>
    </row>
    <row r="4" ht="19.5" customHeight="1" s="163">
      <c r="A4" s="279" t="inlineStr">
        <is>
          <t>ENDEREÇO</t>
        </is>
      </c>
      <c r="B4" s="280" t="inlineStr">
        <is>
          <t>RUA BENJAMIN CONSTANT, 272 - CEP 25610-130</t>
        </is>
      </c>
      <c r="C4" s="299" t="n"/>
      <c r="D4" s="299" t="n"/>
      <c r="E4" s="281" t="n"/>
    </row>
    <row r="5" ht="19.5" customHeight="1" s="163">
      <c r="A5" s="279" t="inlineStr">
        <is>
          <t>CÓDIGO</t>
        </is>
      </c>
      <c r="B5" s="280" t="inlineStr">
        <is>
          <t>3068</t>
        </is>
      </c>
      <c r="C5" s="299" t="n"/>
      <c r="D5" s="299" t="n"/>
      <c r="E5" s="281" t="n"/>
    </row>
    <row r="6" ht="19.5" customHeight="1" s="163">
      <c r="A6" s="279" t="inlineStr">
        <is>
          <t>TELEFONE</t>
        </is>
      </c>
      <c r="B6" s="280" t="inlineStr">
        <is>
          <t>(24) 2020-9441, (24) 99974-9662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DAGMAR ROLANDO DE OLIVEIRA</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PRINCESA DONA PAULA, 25 - CEP 25730-100</t>
        </is>
      </c>
      <c r="C4" s="299" t="n"/>
      <c r="D4" s="299" t="n"/>
      <c r="E4" s="281" t="n"/>
    </row>
    <row r="5" ht="19.5" customHeight="1" s="163">
      <c r="A5" s="279" t="inlineStr">
        <is>
          <t>CÓDIGO</t>
        </is>
      </c>
      <c r="B5" s="280" t="inlineStr">
        <is>
          <t>3069</t>
        </is>
      </c>
      <c r="C5" s="299" t="n"/>
      <c r="D5" s="299" t="n"/>
      <c r="E5" s="281" t="n"/>
    </row>
    <row r="6" ht="19.5" customHeight="1" s="163">
      <c r="A6" s="279" t="inlineStr">
        <is>
          <t>TELEFONE</t>
        </is>
      </c>
      <c r="B6" s="280" t="inlineStr">
        <is>
          <t>(24) 2019-3680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PROFESSORA ANNA MARIA NARDI</t>
        </is>
      </c>
      <c r="C2" s="299" t="n"/>
      <c r="D2" s="299" t="n"/>
      <c r="E2" s="281" t="n"/>
    </row>
    <row r="3" ht="19.5" customHeight="1" s="163">
      <c r="A3" s="279" t="inlineStr">
        <is>
          <t>BAIRRO</t>
        </is>
      </c>
      <c r="B3" s="280" t="inlineStr">
        <is>
          <t>QUISSAMÃ</t>
        </is>
      </c>
      <c r="C3" s="299" t="n"/>
      <c r="D3" s="299" t="n"/>
      <c r="E3" s="281" t="n"/>
    </row>
    <row r="4" ht="19.5" customHeight="1" s="163">
      <c r="A4" s="279" t="inlineStr">
        <is>
          <t>ENDEREÇO</t>
        </is>
      </c>
      <c r="B4" s="280" t="inlineStr">
        <is>
          <t>QUISSAMÃ, 375 - CEP 25615-411</t>
        </is>
      </c>
      <c r="C4" s="299" t="n"/>
      <c r="D4" s="299" t="n"/>
      <c r="E4" s="281" t="n"/>
    </row>
    <row r="5" ht="19.5" customHeight="1" s="163">
      <c r="A5" s="279" t="inlineStr">
        <is>
          <t>CÓDIGO</t>
        </is>
      </c>
      <c r="B5" s="280" t="inlineStr">
        <is>
          <t>3070</t>
        </is>
      </c>
      <c r="C5" s="299" t="n"/>
      <c r="D5" s="299" t="n"/>
      <c r="E5" s="281" t="n"/>
    </row>
    <row r="6" ht="19.5" customHeight="1" s="163">
      <c r="A6" s="279" t="inlineStr">
        <is>
          <t>TELEFONE</t>
        </is>
      </c>
      <c r="B6" s="280" t="inlineStr">
        <is>
          <t>(24) 2246-2656, (24) 99319-8398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BOA VISTA</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SERV. FRANCISCO JACINTO DO AMARAL, LOTE 11 - CEP 25716-242</t>
        </is>
      </c>
      <c r="C4" s="299" t="n"/>
      <c r="D4" s="299" t="n"/>
      <c r="E4" s="281" t="n"/>
    </row>
    <row r="5" ht="19.5" customHeight="1" s="163">
      <c r="A5" s="279" t="inlineStr">
        <is>
          <t>CÓDIGO</t>
        </is>
      </c>
      <c r="B5" s="280" t="inlineStr">
        <is>
          <t>3072</t>
        </is>
      </c>
      <c r="C5" s="299" t="n"/>
      <c r="D5" s="299" t="n"/>
      <c r="E5" s="281" t="n"/>
    </row>
    <row r="6" ht="19.5" customHeight="1" s="163">
      <c r="A6" s="279" t="inlineStr">
        <is>
          <t>TELEFONE</t>
        </is>
      </c>
      <c r="B6" s="280" t="inlineStr">
        <is>
          <t>(24) 2235-1057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NILO PEÇANHA</t>
        </is>
      </c>
      <c r="C2" s="299" t="n"/>
      <c r="D2" s="299" t="n"/>
      <c r="E2" s="281" t="n"/>
    </row>
    <row r="3" ht="19.5" customHeight="1" s="163">
      <c r="A3" s="279" t="inlineStr">
        <is>
          <t>BAIRRO</t>
        </is>
      </c>
      <c r="B3" s="280" t="inlineStr">
        <is>
          <t>PEDRO DO RIO</t>
        </is>
      </c>
      <c r="C3" s="299" t="n"/>
      <c r="D3" s="299" t="n"/>
      <c r="E3" s="281" t="n"/>
    </row>
    <row r="4" ht="19.5" customHeight="1" s="163">
      <c r="A4" s="279" t="inlineStr">
        <is>
          <t>ENDEREÇO</t>
        </is>
      </c>
      <c r="B4" s="280" t="inlineStr">
        <is>
          <t>RUA EUGENIO ZANATTA, 247 - CEP 25750-300</t>
        </is>
      </c>
      <c r="C4" s="299" t="n"/>
      <c r="D4" s="299" t="n"/>
      <c r="E4" s="281" t="n"/>
    </row>
    <row r="5" ht="19.5" customHeight="1" s="163">
      <c r="A5" s="279" t="inlineStr">
        <is>
          <t>CÓDIGO</t>
        </is>
      </c>
      <c r="B5" s="280" t="inlineStr">
        <is>
          <t>3074</t>
        </is>
      </c>
      <c r="C5" s="299" t="n"/>
      <c r="D5" s="299" t="n"/>
      <c r="E5" s="281" t="n"/>
    </row>
    <row r="6" ht="19.5" customHeight="1" s="163">
      <c r="A6" s="279" t="inlineStr">
        <is>
          <t>TELEFONE</t>
        </is>
      </c>
      <c r="B6" s="280" t="inlineStr">
        <is>
          <t>(24) 99313-4013, (24) 2246-8660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AUGUSTO PUGNALONI</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DO CATOBIRA, S/N - CEP 25740-100</t>
        </is>
      </c>
      <c r="C4" s="299" t="n"/>
      <c r="D4" s="299" t="n"/>
      <c r="E4" s="281" t="n"/>
    </row>
    <row r="5" ht="19.5" customHeight="1" s="163">
      <c r="A5" s="279" t="inlineStr">
        <is>
          <t>CÓDIGO</t>
        </is>
      </c>
      <c r="B5" s="280" t="inlineStr">
        <is>
          <t>3075</t>
        </is>
      </c>
      <c r="C5" s="299" t="n"/>
      <c r="D5" s="299" t="n"/>
      <c r="E5" s="281" t="n"/>
    </row>
    <row r="6" ht="19.5" customHeight="1" s="163">
      <c r="A6" s="279" t="inlineStr">
        <is>
          <t>TELEFONE</t>
        </is>
      </c>
      <c r="B6" s="280" t="inlineStr">
        <is>
          <t>(24) 2246-9104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THEREZINHA DE JESUS LIMA</t>
        </is>
      </c>
      <c r="C2" s="299" t="n"/>
      <c r="D2" s="299" t="n"/>
      <c r="E2" s="281" t="n"/>
    </row>
    <row r="3" ht="19.5" customHeight="1" s="163">
      <c r="A3" s="279" t="inlineStr">
        <is>
          <t>BAIRRO</t>
        </is>
      </c>
      <c r="B3" s="280" t="inlineStr">
        <is>
          <t>BONFIM</t>
        </is>
      </c>
      <c r="C3" s="299" t="n"/>
      <c r="D3" s="299" t="n"/>
      <c r="E3" s="281" t="n"/>
    </row>
    <row r="4" ht="19.5" customHeight="1" s="163">
      <c r="A4" s="279" t="inlineStr">
        <is>
          <t>ENDEREÇO</t>
        </is>
      </c>
      <c r="B4" s="280" t="inlineStr">
        <is>
          <t>ALEXANDRE ALVES ANTUNES, 80 - CEP 25730-005</t>
        </is>
      </c>
      <c r="C4" s="299" t="n"/>
      <c r="D4" s="299" t="n"/>
      <c r="E4" s="281" t="n"/>
    </row>
    <row r="5" ht="19.5" customHeight="1" s="163">
      <c r="A5" s="279" t="inlineStr">
        <is>
          <t>CÓDIGO</t>
        </is>
      </c>
      <c r="B5" s="280" t="inlineStr">
        <is>
          <t>3076</t>
        </is>
      </c>
      <c r="C5" s="299" t="n"/>
      <c r="D5" s="299" t="n"/>
      <c r="E5" s="281" t="n"/>
    </row>
    <row r="6" ht="19.5" customHeight="1" s="163">
      <c r="A6" s="279" t="inlineStr">
        <is>
          <t>TELEFONE</t>
        </is>
      </c>
      <c r="B6" s="280" t="inlineStr">
        <is>
          <t>(24) 2246-4262</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VIDEIRINHA</t>
        </is>
      </c>
      <c r="C2" s="299" t="n"/>
      <c r="D2" s="299" t="n"/>
      <c r="E2" s="281" t="n"/>
    </row>
    <row r="3" ht="19.5" customHeight="1" s="163">
      <c r="A3" s="279" t="inlineStr">
        <is>
          <t>BAIRRO</t>
        </is>
      </c>
      <c r="B3" s="280" t="inlineStr">
        <is>
          <t>ARARAS</t>
        </is>
      </c>
      <c r="C3" s="299" t="n"/>
      <c r="D3" s="299" t="n"/>
      <c r="E3" s="281" t="n"/>
    </row>
    <row r="4" ht="19.5" customHeight="1" s="163">
      <c r="A4" s="279" t="inlineStr">
        <is>
          <t>ENDEREÇO</t>
        </is>
      </c>
      <c r="B4" s="280" t="inlineStr">
        <is>
          <t>ESTR. ALMIRANTE PAULO MEIRA, 8201 - CEP 25725-029</t>
        </is>
      </c>
      <c r="C4" s="299" t="n"/>
      <c r="D4" s="299" t="n"/>
      <c r="E4" s="281" t="n"/>
    </row>
    <row r="5" ht="19.5" customHeight="1" s="163">
      <c r="A5" s="279" t="inlineStr">
        <is>
          <t>CÓDIGO</t>
        </is>
      </c>
      <c r="B5" s="280" t="inlineStr">
        <is>
          <t>3077</t>
        </is>
      </c>
      <c r="C5" s="299" t="n"/>
      <c r="D5" s="299" t="n"/>
      <c r="E5" s="281" t="n"/>
    </row>
    <row r="6" ht="19.5" customHeight="1" s="163">
      <c r="A6" s="279" t="inlineStr">
        <is>
          <t>TELEFONE</t>
        </is>
      </c>
      <c r="B6" s="280" t="inlineStr">
        <is>
          <t>(24) 99269-4949, (24) 99310-6988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PROFª ADRIANA CONSTÂNCIO TRINDADE</t>
        </is>
      </c>
      <c r="C2" s="299" t="n"/>
      <c r="D2" s="299" t="n"/>
      <c r="E2" s="281" t="n"/>
    </row>
    <row r="3" ht="19.5" customHeight="1" s="163">
      <c r="A3" s="279" t="inlineStr">
        <is>
          <t>BAIRRO</t>
        </is>
      </c>
      <c r="B3" s="280" t="inlineStr">
        <is>
          <t>ITAIPAVA</t>
        </is>
      </c>
      <c r="C3" s="299" t="n"/>
      <c r="D3" s="299" t="n"/>
      <c r="E3" s="281" t="n"/>
    </row>
    <row r="4" ht="19.5" customHeight="1" s="163">
      <c r="A4" s="279" t="inlineStr">
        <is>
          <t>ENDEREÇO</t>
        </is>
      </c>
      <c r="B4" s="280" t="inlineStr">
        <is>
          <t>ESTRADA UNIÃO INDÚSTRIA, 11990 - CEP 25750-220</t>
        </is>
      </c>
      <c r="C4" s="299" t="n"/>
      <c r="D4" s="299" t="n"/>
      <c r="E4" s="281" t="n"/>
    </row>
    <row r="5" ht="19.5" customHeight="1" s="163">
      <c r="A5" s="279" t="inlineStr">
        <is>
          <t>CÓDIGO</t>
        </is>
      </c>
      <c r="B5" s="280" t="inlineStr">
        <is>
          <t>3078</t>
        </is>
      </c>
      <c r="C5" s="299" t="n"/>
      <c r="D5" s="299" t="n"/>
      <c r="E5" s="281" t="n"/>
    </row>
    <row r="6" ht="19.5" customHeight="1" s="163">
      <c r="A6" s="279" t="inlineStr">
        <is>
          <t>TELEFONE</t>
        </is>
      </c>
      <c r="B6" s="280" t="inlineStr">
        <is>
          <t>(24) 2235-7398</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8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SÉRGIO RIBEIRO ROCHA</t>
        </is>
      </c>
      <c r="C2" s="299" t="n"/>
      <c r="D2" s="299" t="n"/>
      <c r="E2" s="281" t="n"/>
    </row>
    <row r="3" ht="19.5" customHeight="1" s="163">
      <c r="A3" s="279" t="inlineStr">
        <is>
          <t>BAIRRO</t>
        </is>
      </c>
      <c r="B3" s="280" t="inlineStr">
        <is>
          <t>NOGUEIRA</t>
        </is>
      </c>
      <c r="C3" s="299" t="n"/>
      <c r="D3" s="299" t="n"/>
      <c r="E3" s="281" t="n"/>
    </row>
    <row r="4" ht="19.5" customHeight="1" s="163">
      <c r="A4" s="279" t="inlineStr">
        <is>
          <t>ENDEREÇO</t>
        </is>
      </c>
      <c r="B4" s="280" t="inlineStr">
        <is>
          <t>ESTRADA DO PALMITAL, - CEP 25730-500</t>
        </is>
      </c>
      <c r="C4" s="299" t="n"/>
      <c r="D4" s="299" t="n"/>
      <c r="E4" s="281" t="n"/>
    </row>
    <row r="5" ht="19.5" customHeight="1" s="163">
      <c r="A5" s="279" t="inlineStr">
        <is>
          <t>CÓDIGO</t>
        </is>
      </c>
      <c r="B5" s="280" t="inlineStr">
        <is>
          <t>3079</t>
        </is>
      </c>
      <c r="C5" s="299" t="n"/>
      <c r="D5" s="299" t="n"/>
      <c r="E5" s="281" t="n"/>
    </row>
    <row r="6" ht="19.5" customHeight="1" s="163">
      <c r="A6" s="279" t="inlineStr">
        <is>
          <t>TELEFONE</t>
        </is>
      </c>
      <c r="B6" s="280" t="inlineStr">
        <is>
          <t>(24) 2231-7404</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JURACI PINTO DO AMARAL DE CASTRO</t>
        </is>
      </c>
      <c r="C2" s="299" t="n"/>
      <c r="D2" s="299" t="n"/>
      <c r="E2" s="281" t="n"/>
    </row>
    <row r="3" ht="19.5" customHeight="1" s="163">
      <c r="A3" s="279" t="inlineStr">
        <is>
          <t>BAIRRO</t>
        </is>
      </c>
      <c r="B3" s="280" t="inlineStr">
        <is>
          <t>DUARTE DA SILVEIRA</t>
        </is>
      </c>
      <c r="C3" s="299" t="n"/>
      <c r="D3" s="299" t="n"/>
      <c r="E3" s="281" t="n"/>
    </row>
    <row r="4" ht="19.5" customHeight="1" s="163">
      <c r="A4" s="279" t="inlineStr">
        <is>
          <t>ENDEREÇO</t>
        </is>
      </c>
      <c r="B4" s="280" t="inlineStr">
        <is>
          <t>RUA LUIZ WINTER, 1305 - CEP 25665-430</t>
        </is>
      </c>
      <c r="C4" s="299" t="n"/>
      <c r="D4" s="299" t="n"/>
      <c r="E4" s="281" t="n"/>
    </row>
    <row r="5" ht="19.5" customHeight="1" s="163">
      <c r="A5" s="279" t="inlineStr">
        <is>
          <t>CÓDIGO</t>
        </is>
      </c>
      <c r="B5" s="280" t="inlineStr">
        <is>
          <t>3080</t>
        </is>
      </c>
      <c r="C5" s="299" t="n"/>
      <c r="D5" s="299" t="n"/>
      <c r="E5" s="281" t="n"/>
    </row>
    <row r="6" ht="19.5" customHeight="1" s="163">
      <c r="A6" s="279" t="inlineStr">
        <is>
          <t>TELEFONE</t>
        </is>
      </c>
      <c r="B6" s="280" t="inlineStr">
        <is>
          <t>(24) 98161-0682, (24) 2019-3597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1.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NOSSA SENHORA DA GLÓRIA</t>
        </is>
      </c>
      <c r="C2" s="299" t="n"/>
      <c r="D2" s="299" t="n"/>
      <c r="E2" s="281" t="n"/>
    </row>
    <row r="3" ht="19.5" customHeight="1" s="163">
      <c r="A3" s="279" t="inlineStr">
        <is>
          <t>BAIRRO</t>
        </is>
      </c>
      <c r="B3" s="280" t="inlineStr">
        <is>
          <t>CORRÊAS</t>
        </is>
      </c>
      <c r="C3" s="299" t="n"/>
      <c r="D3" s="299" t="n"/>
      <c r="E3" s="281" t="n"/>
    </row>
    <row r="4" ht="19.5" customHeight="1" s="163">
      <c r="A4" s="279" t="inlineStr">
        <is>
          <t>ENDEREÇO</t>
        </is>
      </c>
      <c r="B4" s="280" t="inlineStr">
        <is>
          <t>RUA NOSSA SENHORA DA GLÓRIA, 1370 - CEP 25720-265</t>
        </is>
      </c>
      <c r="C4" s="299" t="n"/>
      <c r="D4" s="299" t="n"/>
      <c r="E4" s="281" t="n"/>
    </row>
    <row r="5" ht="19.5" customHeight="1" s="163">
      <c r="A5" s="279" t="inlineStr">
        <is>
          <t>CÓDIGO</t>
        </is>
      </c>
      <c r="B5" s="280" t="inlineStr">
        <is>
          <t>3081</t>
        </is>
      </c>
      <c r="C5" s="299" t="n"/>
      <c r="D5" s="299" t="n"/>
      <c r="E5" s="281" t="n"/>
    </row>
    <row r="6" ht="19.5" customHeight="1" s="163">
      <c r="A6" s="279" t="inlineStr">
        <is>
          <t>TELEFONE</t>
        </is>
      </c>
      <c r="B6" s="280" t="inlineStr">
        <is>
          <t>(24) 2221-7590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2.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ALTO INDEPENDÊNCIA</t>
        </is>
      </c>
      <c r="C2" s="299" t="n"/>
      <c r="D2" s="299" t="n"/>
      <c r="E2" s="281" t="n"/>
    </row>
    <row r="3" ht="19.5" customHeight="1" s="163">
      <c r="A3" s="279" t="inlineStr">
        <is>
          <t>BAIRRO</t>
        </is>
      </c>
      <c r="B3" s="280" t="inlineStr">
        <is>
          <t>INDEPENDÊNCIA</t>
        </is>
      </c>
      <c r="C3" s="299" t="n"/>
      <c r="D3" s="299" t="n"/>
      <c r="E3" s="281" t="n"/>
    </row>
    <row r="4" ht="19.5" customHeight="1" s="163">
      <c r="A4" s="279" t="inlineStr">
        <is>
          <t>ENDEREÇO</t>
        </is>
      </c>
      <c r="B4" s="280" t="inlineStr">
        <is>
          <t>RUA LEONOR MAIA, 56 - CEP 25645-420</t>
        </is>
      </c>
      <c r="C4" s="299" t="n"/>
      <c r="D4" s="299" t="n"/>
      <c r="E4" s="281" t="n"/>
    </row>
    <row r="5" ht="19.5" customHeight="1" s="163">
      <c r="A5" s="279" t="inlineStr">
        <is>
          <t>CÓDIGO</t>
        </is>
      </c>
      <c r="B5" s="280" t="inlineStr">
        <is>
          <t>4001</t>
        </is>
      </c>
      <c r="C5" s="299" t="n"/>
      <c r="D5" s="299" t="n"/>
      <c r="E5" s="281" t="n"/>
    </row>
    <row r="6" ht="19.5" customHeight="1" s="163">
      <c r="A6" s="279" t="inlineStr">
        <is>
          <t>TELEFONE</t>
        </is>
      </c>
      <c r="B6" s="280" t="inlineStr">
        <is>
          <t>(24) 99281-9360, (24) 2020-3699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3.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SÃO JOSÉ DAS OBLATAS DE NAZARÉ</t>
        </is>
      </c>
      <c r="C2" s="299" t="n"/>
      <c r="D2" s="299" t="n"/>
      <c r="E2" s="281" t="n"/>
    </row>
    <row r="3" ht="19.5" customHeight="1" s="163">
      <c r="A3" s="279" t="inlineStr">
        <is>
          <t>BAIRRO</t>
        </is>
      </c>
      <c r="B3" s="280" t="inlineStr">
        <is>
          <t>CASTELÂNEA</t>
        </is>
      </c>
      <c r="C3" s="299" t="n"/>
      <c r="D3" s="299" t="n"/>
      <c r="E3" s="281" t="n"/>
    </row>
    <row r="4" ht="19.5" customHeight="1" s="163">
      <c r="A4" s="279" t="inlineStr">
        <is>
          <t>ENDEREÇO</t>
        </is>
      </c>
      <c r="B4" s="280" t="inlineStr">
        <is>
          <t>RUA OLAVO BILAC, 815 - CEP 25640-511</t>
        </is>
      </c>
      <c r="C4" s="299" t="n"/>
      <c r="D4" s="299" t="n"/>
      <c r="E4" s="281" t="n"/>
    </row>
    <row r="5" ht="19.5" customHeight="1" s="163">
      <c r="A5" s="279" t="inlineStr">
        <is>
          <t>CÓDIGO</t>
        </is>
      </c>
      <c r="B5" s="280" t="inlineStr">
        <is>
          <t>4002</t>
        </is>
      </c>
      <c r="C5" s="299" t="n"/>
      <c r="D5" s="299" t="n"/>
      <c r="E5" s="281" t="n"/>
    </row>
    <row r="6" ht="19.5" customHeight="1" s="163">
      <c r="A6" s="279" t="inlineStr">
        <is>
          <t>TELEFONE</t>
        </is>
      </c>
      <c r="B6" s="280" t="inlineStr">
        <is>
          <t>(24) 2231-0256, (24) 98819-1505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4.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SANTO ANTÔNIO AGOSTINHO</t>
        </is>
      </c>
      <c r="C2" s="299" t="n"/>
      <c r="D2" s="299" t="n"/>
      <c r="E2" s="281" t="n"/>
    </row>
    <row r="3" ht="19.5" customHeight="1" s="163">
      <c r="A3" s="279" t="inlineStr">
        <is>
          <t>BAIRRO</t>
        </is>
      </c>
      <c r="B3" s="280" t="inlineStr">
        <is>
          <t>NOGUEIRA</t>
        </is>
      </c>
      <c r="C3" s="299" t="n"/>
      <c r="D3" s="299" t="n"/>
      <c r="E3" s="281" t="n"/>
    </row>
    <row r="4" ht="19.5" customHeight="1" s="163">
      <c r="A4" s="279" t="inlineStr">
        <is>
          <t>ENDEREÇO</t>
        </is>
      </c>
      <c r="B4" s="280" t="inlineStr">
        <is>
          <t>LEOPOLDINA, 590 - CEP 25730-203</t>
        </is>
      </c>
      <c r="C4" s="299" t="n"/>
      <c r="D4" s="299" t="n"/>
      <c r="E4" s="281" t="n"/>
    </row>
    <row r="5" ht="19.5" customHeight="1" s="163">
      <c r="A5" s="279" t="inlineStr">
        <is>
          <t>CÓDIGO</t>
        </is>
      </c>
      <c r="B5" s="280" t="inlineStr">
        <is>
          <t>4003</t>
        </is>
      </c>
      <c r="C5" s="299" t="n"/>
      <c r="D5" s="299" t="n"/>
      <c r="E5" s="281" t="n"/>
    </row>
    <row r="6" ht="19.5" customHeight="1" s="163">
      <c r="A6" s="279" t="inlineStr">
        <is>
          <t>TELEFONE</t>
        </is>
      </c>
      <c r="B6" s="280" t="inlineStr">
        <is>
          <t>(24) 2221-5545</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5.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SÃO CHARBEL</t>
        </is>
      </c>
      <c r="C2" s="299" t="n"/>
      <c r="D2" s="299" t="n"/>
      <c r="E2" s="281" t="n"/>
    </row>
    <row r="3" ht="19.5" customHeight="1" s="163">
      <c r="A3" s="279" t="inlineStr">
        <is>
          <t>BAIRRO</t>
        </is>
      </c>
      <c r="B3" s="280" t="inlineStr">
        <is>
          <t>CAXAMBU</t>
        </is>
      </c>
      <c r="C3" s="299" t="n"/>
      <c r="D3" s="299" t="n"/>
      <c r="E3" s="281" t="n"/>
    </row>
    <row r="4" ht="19.5" customHeight="1" s="163">
      <c r="A4" s="279" t="inlineStr">
        <is>
          <t>ENDEREÇO</t>
        </is>
      </c>
      <c r="B4" s="280" t="inlineStr">
        <is>
          <t>RUA FLAVIO CAVALCANTI, S/N - CEP 25615-060</t>
        </is>
      </c>
      <c r="C4" s="299" t="n"/>
      <c r="D4" s="299" t="n"/>
      <c r="E4" s="281" t="n"/>
    </row>
    <row r="5" ht="19.5" customHeight="1" s="163">
      <c r="A5" s="279" t="inlineStr">
        <is>
          <t>CÓDIGO</t>
        </is>
      </c>
      <c r="B5" s="280" t="inlineStr">
        <is>
          <t>4004</t>
        </is>
      </c>
      <c r="C5" s="299" t="n"/>
      <c r="D5" s="299" t="n"/>
      <c r="E5" s="281" t="n"/>
    </row>
    <row r="6" ht="19.5" customHeight="1" s="163">
      <c r="A6" s="279" t="inlineStr">
        <is>
          <t>TELEFONE</t>
        </is>
      </c>
      <c r="B6" s="280" t="inlineStr">
        <is>
          <t>(24) 2242-0027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6.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ASSOCIAÇÃO DA CRECHE SÃO FRANCISCO DE ASSIS</t>
        </is>
      </c>
      <c r="C2" s="299" t="n"/>
      <c r="D2" s="299" t="n"/>
      <c r="E2" s="281" t="n"/>
    </row>
    <row r="3" ht="19.5" customHeight="1" s="163">
      <c r="A3" s="279" t="inlineStr">
        <is>
          <t>BAIRRO</t>
        </is>
      </c>
      <c r="B3" s="280" t="inlineStr">
        <is>
          <t>CASCATINHA</t>
        </is>
      </c>
      <c r="C3" s="299" t="n"/>
      <c r="D3" s="299" t="n"/>
      <c r="E3" s="281" t="n"/>
    </row>
    <row r="4" ht="19.5" customHeight="1" s="163">
      <c r="A4" s="279" t="inlineStr">
        <is>
          <t>ENDEREÇO</t>
        </is>
      </c>
      <c r="B4" s="280" t="inlineStr">
        <is>
          <t>RUA VERIDIANO FELIX, 79 - CEP 25610-200</t>
        </is>
      </c>
      <c r="C4" s="299" t="n"/>
      <c r="D4" s="299" t="n"/>
      <c r="E4" s="281" t="n"/>
    </row>
    <row r="5" ht="19.5" customHeight="1" s="163">
      <c r="A5" s="279" t="inlineStr">
        <is>
          <t>CÓDIGO</t>
        </is>
      </c>
      <c r="B5" s="280" t="inlineStr">
        <is>
          <t>4005</t>
        </is>
      </c>
      <c r="C5" s="299" t="n"/>
      <c r="D5" s="299" t="n"/>
      <c r="E5" s="281" t="n"/>
    </row>
    <row r="6" ht="19.5" customHeight="1" s="163">
      <c r="A6" s="279" t="inlineStr">
        <is>
          <t>TELEFONE</t>
        </is>
      </c>
      <c r="B6" s="280" t="inlineStr">
        <is>
          <t>(24) 2243-0629</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7.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CEI SÃO JOSÉ DO ITAMARATI</t>
        </is>
      </c>
      <c r="C2" s="299" t="n"/>
      <c r="D2" s="299" t="n"/>
      <c r="E2" s="281" t="n"/>
    </row>
    <row r="3" ht="19.5" customHeight="1" s="163">
      <c r="A3" s="279" t="inlineStr">
        <is>
          <t>BAIRRO</t>
        </is>
      </c>
      <c r="B3" s="280" t="inlineStr">
        <is>
          <t>ITAMARATI</t>
        </is>
      </c>
      <c r="C3" s="299" t="n"/>
      <c r="D3" s="299" t="n"/>
      <c r="E3" s="281" t="n"/>
    </row>
    <row r="4" ht="19.5" customHeight="1" s="163">
      <c r="A4" s="279" t="inlineStr">
        <is>
          <t>ENDEREÇO</t>
        </is>
      </c>
      <c r="B4" s="280" t="inlineStr">
        <is>
          <t>QUISSAMÃ, 2012 - CEP 25615-532</t>
        </is>
      </c>
      <c r="C4" s="299" t="n"/>
      <c r="D4" s="299" t="n"/>
      <c r="E4" s="281" t="n"/>
    </row>
    <row r="5" ht="19.5" customHeight="1" s="163">
      <c r="A5" s="279" t="inlineStr">
        <is>
          <t>CÓDIGO</t>
        </is>
      </c>
      <c r="B5" s="280" t="inlineStr">
        <is>
          <t>4006</t>
        </is>
      </c>
      <c r="C5" s="299" t="n"/>
      <c r="D5" s="299" t="n"/>
      <c r="E5" s="281" t="n"/>
    </row>
    <row r="6" ht="19.5" customHeight="1" s="163">
      <c r="A6" s="279" t="inlineStr">
        <is>
          <t>TELEFONE</t>
        </is>
      </c>
      <c r="B6" s="280" t="inlineStr">
        <is>
          <t>(24) 2249-3816</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8.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ASSOCIAÇÃO RECREAR</t>
        </is>
      </c>
      <c r="C2" s="299" t="n"/>
      <c r="D2" s="299" t="n"/>
      <c r="E2" s="281" t="n"/>
    </row>
    <row r="3" ht="19.5" customHeight="1" s="163">
      <c r="A3" s="279" t="inlineStr">
        <is>
          <t>BAIRRO</t>
        </is>
      </c>
      <c r="B3" s="280" t="inlineStr">
        <is>
          <t>CARANGOLA</t>
        </is>
      </c>
      <c r="C3" s="299" t="n"/>
      <c r="D3" s="299" t="n"/>
      <c r="E3" s="281" t="n"/>
    </row>
    <row r="4" ht="19.5" customHeight="1" s="163">
      <c r="A4" s="279" t="inlineStr">
        <is>
          <t>ENDEREÇO</t>
        </is>
      </c>
      <c r="B4" s="280" t="inlineStr">
        <is>
          <t>ESTRADA DIVINO ESPÍRITO SANTO, 377 - CEP 25715-410</t>
        </is>
      </c>
      <c r="C4" s="299" t="n"/>
      <c r="D4" s="299" t="n"/>
      <c r="E4" s="281" t="n"/>
    </row>
    <row r="5" ht="19.5" customHeight="1" s="163">
      <c r="A5" s="279" t="inlineStr">
        <is>
          <t>CÓDIGO</t>
        </is>
      </c>
      <c r="B5" s="280" t="inlineStr">
        <is>
          <t>4007</t>
        </is>
      </c>
      <c r="C5" s="299" t="n"/>
      <c r="D5" s="299" t="n"/>
      <c r="E5" s="281" t="n"/>
    </row>
    <row r="6" ht="19.5" customHeight="1" s="163">
      <c r="A6" s="279" t="inlineStr">
        <is>
          <t>TELEFONE</t>
        </is>
      </c>
      <c r="B6" s="280" t="inlineStr">
        <is>
          <t>(24) 2242-4376, (24) 98856-3757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199.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CRECHE-ESCOLA CASTELO SÃO MANOEL</t>
        </is>
      </c>
      <c r="C2" s="299" t="n"/>
      <c r="D2" s="299" t="n"/>
      <c r="E2" s="281" t="n"/>
    </row>
    <row r="3" ht="19.5" customHeight="1" s="163">
      <c r="A3" s="279" t="inlineStr">
        <is>
          <t>BAIRRO</t>
        </is>
      </c>
      <c r="B3" s="280" t="inlineStr">
        <is>
          <t>CASTELO SÃO MANOEL</t>
        </is>
      </c>
      <c r="C3" s="299" t="n"/>
      <c r="D3" s="299" t="n"/>
      <c r="E3" s="281" t="n"/>
    </row>
    <row r="4" ht="19.5" customHeight="1" s="163">
      <c r="A4" s="279" t="inlineStr">
        <is>
          <t>ENDEREÇO</t>
        </is>
      </c>
      <c r="B4" s="280" t="inlineStr">
        <is>
          <t>RUA VISCONDE DE TAUNAY, 641 - CEP 25720-200</t>
        </is>
      </c>
      <c r="C4" s="299" t="n"/>
      <c r="D4" s="299" t="n"/>
      <c r="E4" s="281" t="n"/>
    </row>
    <row r="5" ht="19.5" customHeight="1" s="163">
      <c r="A5" s="279" t="inlineStr">
        <is>
          <t>CÓDIGO</t>
        </is>
      </c>
      <c r="B5" s="280" t="inlineStr">
        <is>
          <t>4019</t>
        </is>
      </c>
      <c r="C5" s="299" t="n"/>
      <c r="D5" s="299" t="n"/>
      <c r="E5" s="281" t="n"/>
    </row>
    <row r="6" ht="19.5" customHeight="1" s="163">
      <c r="A6" s="279" t="inlineStr">
        <is>
          <t>TELEFONE</t>
        </is>
      </c>
      <c r="B6" s="280" t="inlineStr">
        <is>
          <t>(24) 2221-5830, (24) 98876-0610</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0.xml><?xml version="1.0" encoding="utf-8"?>
<worksheet xmlns="http://schemas.openxmlformats.org/spreadsheetml/2006/main">
  <sheetPr filterMode="0">
    <outlinePr summaryBelow="1" summaryRight="1"/>
    <pageSetUpPr fitToPage="1"/>
  </sheetPr>
  <dimension ref="A1:S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2" min="1" max="1"/>
    <col width="14" customWidth="1" style="162" min="2" max="3"/>
    <col width="16" customWidth="1" style="163" min="3" max="3"/>
    <col width="14" customWidth="1" style="162" min="4" max="4"/>
    <col width="16" customWidth="1" style="162" min="5" max="5"/>
    <col hidden="1" width="10" customWidth="1" style="162" min="6" max="6"/>
    <col hidden="1" width="11" customWidth="1" style="162" min="7" max="7"/>
    <col hidden="1" width="12" customWidth="1" style="162" min="8" max="8"/>
    <col width="9" customWidth="1" style="162" min="9" max="9"/>
    <col width="24" customWidth="1" style="162" min="10" max="10"/>
    <col hidden="1" width="12" customWidth="1" style="162" min="11" max="11"/>
    <col width="16" customWidth="1" style="162" min="12" max="12"/>
    <col hidden="1" width="13" customWidth="1" style="162" min="13" max="13"/>
    <col hidden="1" width="11" customWidth="1" style="162" min="14" max="15"/>
    <col hidden="1" width="12" customWidth="1" style="163" min="15" max="15"/>
    <col hidden="1" width="12" customWidth="1" style="163" min="16" max="16"/>
    <col width="0.5" customWidth="1" style="163" min="17" max="17"/>
    <col width="0.5" customWidth="1" style="163" min="18" max="18"/>
    <col width="0.5" customWidth="1" style="163" min="19" max="19"/>
  </cols>
  <sheetData>
    <row r="1" ht="25.5" customHeight="1" s="163">
      <c r="A1" s="278" t="inlineStr">
        <is>
          <t>CONTROLE DE ENTREGA — ESCOLA</t>
        </is>
      </c>
      <c r="F1" s="204">
        <f>HYPERLINK("#'ÍNDICE'!A1","◄ Voltar ao Índice")</f>
        <v/>
      </c>
    </row>
    <row r="2" ht="19.5" customHeight="1" s="163">
      <c r="A2" s="279" t="inlineStr">
        <is>
          <t>NOME DA ESCOLA</t>
        </is>
      </c>
      <c r="B2" s="280" t="inlineStr">
        <is>
          <t>CENTRO DE EDUCAÇÃO INFANTIL SÃO JUDAS TADEU</t>
        </is>
      </c>
      <c r="C2" s="299" t="n"/>
      <c r="D2" s="299" t="n"/>
      <c r="E2" s="281" t="n"/>
    </row>
    <row r="3" ht="19.5" customHeight="1" s="163">
      <c r="A3" s="279" t="inlineStr">
        <is>
          <t>BAIRRO</t>
        </is>
      </c>
      <c r="B3" s="280" t="inlineStr">
        <is>
          <t>MOSELA</t>
        </is>
      </c>
      <c r="C3" s="299" t="n"/>
      <c r="D3" s="299" t="n"/>
      <c r="E3" s="281" t="n"/>
    </row>
    <row r="4" ht="19.5" customHeight="1" s="163">
      <c r="A4" s="279" t="inlineStr">
        <is>
          <t>ENDEREÇO</t>
        </is>
      </c>
      <c r="B4" s="280" t="inlineStr">
        <is>
          <t>RUA CANDIDO PORTINARI, 230 - CEP 25675-130</t>
        </is>
      </c>
      <c r="C4" s="299" t="n"/>
      <c r="D4" s="299" t="n"/>
      <c r="E4" s="281" t="n"/>
    </row>
    <row r="5" ht="19.5" customHeight="1" s="163">
      <c r="A5" s="279" t="inlineStr">
        <is>
          <t>CÓDIGO</t>
        </is>
      </c>
      <c r="B5" s="280" t="inlineStr">
        <is>
          <t>4021</t>
        </is>
      </c>
      <c r="C5" s="299" t="n"/>
      <c r="D5" s="299" t="n"/>
      <c r="E5" s="281" t="n"/>
    </row>
    <row r="6" ht="19.5" customHeight="1" s="163">
      <c r="A6" s="279" t="inlineStr">
        <is>
          <t>TELEFONE</t>
        </is>
      </c>
      <c r="B6" s="280" t="inlineStr">
        <is>
          <t>(24) 2291-7386, (24) 98828-0197</t>
        </is>
      </c>
      <c r="C6" s="299" t="n"/>
      <c r="D6" s="299" t="n"/>
      <c r="E6" s="281" t="n"/>
    </row>
    <row r="7" ht="19.5" customHeight="1" s="163">
      <c r="A7" s="411" t="inlineStr">
        <is>
          <t>SEMANA (REFERÊNCIA)</t>
        </is>
      </c>
      <c r="B7" s="400" t="n"/>
      <c r="C7" s="294" t="n"/>
      <c r="D7" s="294" t="n"/>
      <c r="E7" s="294" t="n"/>
    </row>
    <row r="8" ht="46" customHeight="1" s="163">
      <c r="A8" s="282" t="inlineStr">
        <is>
          <t>PRODUTO</t>
        </is>
      </c>
      <c r="B8" s="282" t="inlineStr">
        <is>
          <t>PEDIDO (kg)</t>
        </is>
      </c>
      <c r="C8" s="282" t="inlineStr">
        <is>
          <t>RECEBIDO BRUTO
(kg)</t>
        </is>
      </c>
      <c r="D8" s="282" t="inlineStr">
        <is>
          <t>REJEITADO
NA ESCOLA (kg)</t>
        </is>
      </c>
      <c r="E8" s="282" t="inlineStr">
        <is>
          <t>ACEITO
(kg)</t>
        </is>
      </c>
      <c r="F8" s="282" t="inlineStr">
        <is>
          <t>FALTA
(kg)</t>
        </is>
      </c>
      <c r="G8" s="282" t="inlineStr">
        <is>
          <t>EXCEDENTE
(kg)</t>
        </is>
      </c>
      <c r="H8" s="282" t="inlineStr">
        <is>
          <t>STATUS</t>
        </is>
      </c>
      <c r="I8" s="282" t="inlineStr">
        <is>
          <t>CÓD.
MOTIVO</t>
        </is>
      </c>
      <c r="J8" s="282" t="inlineStr">
        <is>
          <t>MOTIVO DA REJEIÇÃO</t>
        </is>
      </c>
      <c r="K8" s="283" t="inlineStr">
        <is>
          <t>COMPLEMENTO
aceito (kg)</t>
        </is>
      </c>
      <c r="L8" s="283" t="inlineStr">
        <is>
          <t>SITUAÇÃO
DA FALTA</t>
        </is>
      </c>
      <c r="M8" s="283" t="inlineStr">
        <is>
          <t>TOTAL ACEITO
(c/ complemento)</t>
        </is>
      </c>
      <c r="N8" s="348" t="inlineStr">
        <is>
          <t>FALTA
(desta entrega)</t>
        </is>
      </c>
      <c r="O8" s="348" t="inlineStr">
        <is>
          <t>EXCEDENTE
(desta entrega)</t>
        </is>
      </c>
      <c r="P8" s="348" t="inlineStr">
        <is>
          <t>STATUS
(desta entrega)</t>
        </is>
      </c>
      <c r="Q8" s="329">
        <f>SUMPRODUCT((C9:C27="")*(((B9:B27&gt;0)+(D9:D27&lt;&gt;""))&gt;0))</f>
        <v/>
      </c>
      <c r="R8" s="329">
        <f>SUMPRODUCT((C9:C27&lt;&gt;"")*(D9:D27&gt;C9:C27))</f>
        <v/>
      </c>
      <c r="S8" s="329">
        <f>SUMPRODUCT((F9:F27&gt;0)*(L9:L27&lt;&gt;"Encerrada sem atendimento"))</f>
        <v/>
      </c>
    </row>
    <row r="9" ht="19.5" customHeight="1" s="163">
      <c r="A9" s="285" t="inlineStr">
        <is>
          <t>Abacate</t>
        </is>
      </c>
      <c r="B9" s="286">
        <f>INDEX('Entrada de Dados'!C$6:C$196,MATCH($B$5,'Entrada de Dados'!$A$6:$A$196,0))</f>
        <v/>
      </c>
      <c r="C9" s="287" t="n"/>
      <c r="D9" s="287" t="n"/>
      <c r="E9" s="286">
        <f>IF(C9="",0,MAX(C9-D9,0))</f>
        <v/>
      </c>
      <c r="F9" s="286">
        <f>IF(C9="",0,MAX(B9-(E9+K9),0))</f>
        <v/>
      </c>
      <c r="G9" s="286">
        <f>IF(C9="",0,MAX((E9+K9)-B9,0))</f>
        <v/>
      </c>
      <c r="H9" s="288">
        <f>IF(AND(B9=0,C9="",K9=0),"—",IF(C9="","PENDENTE",IF(D9&gt;C9,"INCONSISTENTE",IF(F9&gt;0,"FALTA",IF(G9&gt;0,"SOBRA","OK")))))</f>
        <v/>
      </c>
      <c r="I9" s="289" t="n"/>
      <c r="J9" s="285">
        <f>IF(I9="","",LOOKUP(I9,MOTIVO!$A$4:$A$23,MOTIVO!$B$4:$B$23))</f>
        <v/>
      </c>
      <c r="K9" s="290">
        <f>SUMIFS(COMPLEMENTOS!$I$60:$I$559,COMPLEMENTOS!$D$60:$D$559,$B$5,COMPLEMENTOS!$C$60:$C$559,$A9)</f>
        <v/>
      </c>
      <c r="L9" s="291" t="n"/>
      <c r="M9" s="292">
        <f>E9+K9</f>
        <v/>
      </c>
      <c r="N9" s="349">
        <f>IF(C9="",0,MAX(B9-E9,0))</f>
        <v/>
      </c>
      <c r="O9" s="349">
        <f>IF(C9="",0,MAX(E9-B9,0))</f>
        <v/>
      </c>
      <c r="P9" s="350">
        <f>IF(AND(B9=0,C9=""),"—",IF(C9="","PENDENTE",IF(D9&gt;C9,"INCONSISTENTE",IF(N9&gt;0,"FALTA",IF(O9&gt;0,"SOBRA","OK")))))</f>
        <v/>
      </c>
    </row>
    <row r="10" ht="19.5" customHeight="1" s="163">
      <c r="A10" s="285" t="inlineStr">
        <is>
          <t>Abobrinha</t>
        </is>
      </c>
      <c r="B10" s="286">
        <f>INDEX('Entrada de Dados'!D$6:D$196,MATCH($B$5,'Entrada de Dados'!$A$6:$A$196,0))</f>
        <v/>
      </c>
      <c r="C10" s="287" t="n"/>
      <c r="D10" s="287" t="n"/>
      <c r="E10" s="286">
        <f>IF(C10="",0,MAX(C10-D10,0))</f>
        <v/>
      </c>
      <c r="F10" s="286">
        <f>IF(C10="",0,MAX(B10-(E10+K10),0))</f>
        <v/>
      </c>
      <c r="G10" s="286">
        <f>IF(C10="",0,MAX((E10+K10)-B10,0))</f>
        <v/>
      </c>
      <c r="H10" s="288">
        <f>IF(AND(B10=0,C10="",K10=0),"—",IF(C10="","PENDENTE",IF(D10&gt;C10,"INCONSISTENTE",IF(F10&gt;0,"FALTA",IF(G10&gt;0,"SOBRA","OK")))))</f>
        <v/>
      </c>
      <c r="I10" s="289" t="n"/>
      <c r="J10" s="285">
        <f>IF(I10="","",LOOKUP(I10,MOTIVO!$A$4:$A$23,MOTIVO!$B$4:$B$23))</f>
        <v/>
      </c>
      <c r="K10" s="290">
        <f>SUMIFS(COMPLEMENTOS!$I$60:$I$559,COMPLEMENTOS!$D$60:$D$559,$B$5,COMPLEMENTOS!$C$60:$C$559,$A10)</f>
        <v/>
      </c>
      <c r="L10" s="291" t="n"/>
      <c r="M10" s="292">
        <f>E10+K10</f>
        <v/>
      </c>
      <c r="N10" s="349">
        <f>IF(C10="",0,MAX(B10-E10,0))</f>
        <v/>
      </c>
      <c r="O10" s="349">
        <f>IF(C10="",0,MAX(E10-B10,0))</f>
        <v/>
      </c>
      <c r="P10" s="350">
        <f>IF(AND(B10=0,C10=""),"—",IF(C10="","PENDENTE",IF(D10&gt;C10,"INCONSISTENTE",IF(N10&gt;0,"FALTA",IF(O10&gt;0,"SOBRA","OK")))))</f>
        <v/>
      </c>
    </row>
    <row r="11" ht="19.5" customHeight="1" s="163">
      <c r="A11" s="285" t="inlineStr">
        <is>
          <t>Agrião</t>
        </is>
      </c>
      <c r="B11" s="286">
        <f>INDEX('Entrada de Dados'!E$6:E$196,MATCH($B$5,'Entrada de Dados'!$A$6:$A$196,0))</f>
        <v/>
      </c>
      <c r="C11" s="287" t="n"/>
      <c r="D11" s="287" t="n"/>
      <c r="E11" s="286">
        <f>IF(C11="",0,MAX(C11-D11,0))</f>
        <v/>
      </c>
      <c r="F11" s="286">
        <f>IF(C11="",0,MAX(B11-(E11+K11),0))</f>
        <v/>
      </c>
      <c r="G11" s="286">
        <f>IF(C11="",0,MAX((E11+K11)-B11,0))</f>
        <v/>
      </c>
      <c r="H11" s="288">
        <f>IF(AND(B11=0,C11="",K11=0),"—",IF(C11="","PENDENTE",IF(D11&gt;C11,"INCONSISTENTE",IF(F11&gt;0,"FALTA",IF(G11&gt;0,"SOBRA","OK")))))</f>
        <v/>
      </c>
      <c r="I11" s="289" t="n"/>
      <c r="J11" s="285">
        <f>IF(I11="","",LOOKUP(I11,MOTIVO!$A$4:$A$23,MOTIVO!$B$4:$B$23))</f>
        <v/>
      </c>
      <c r="K11" s="290">
        <f>SUMIFS(COMPLEMENTOS!$I$60:$I$559,COMPLEMENTOS!$D$60:$D$559,$B$5,COMPLEMENTOS!$C$60:$C$559,$A11)</f>
        <v/>
      </c>
      <c r="L11" s="291" t="n"/>
      <c r="M11" s="292">
        <f>E11+K11</f>
        <v/>
      </c>
      <c r="N11" s="349">
        <f>IF(C11="",0,MAX(B11-E11,0))</f>
        <v/>
      </c>
      <c r="O11" s="349">
        <f>IF(C11="",0,MAX(E11-B11,0))</f>
        <v/>
      </c>
      <c r="P11" s="350">
        <f>IF(AND(B11=0,C11=""),"—",IF(C11="","PENDENTE",IF(D11&gt;C11,"INCONSISTENTE",IF(N11&gt;0,"FALTA",IF(O11&gt;0,"SOBRA","OK")))))</f>
        <v/>
      </c>
    </row>
    <row r="12" ht="19.5" customHeight="1" s="163">
      <c r="A12" s="285" t="inlineStr">
        <is>
          <t>Alface lisa</t>
        </is>
      </c>
      <c r="B12" s="286">
        <f>INDEX('Entrada de Dados'!F$6:F$196,MATCH($B$5,'Entrada de Dados'!$A$6:$A$196,0))</f>
        <v/>
      </c>
      <c r="C12" s="287" t="n"/>
      <c r="D12" s="287" t="n"/>
      <c r="E12" s="286">
        <f>IF(C12="",0,MAX(C12-D12,0))</f>
        <v/>
      </c>
      <c r="F12" s="286">
        <f>IF(C12="",0,MAX(B12-(E12+K12),0))</f>
        <v/>
      </c>
      <c r="G12" s="286">
        <f>IF(C12="",0,MAX((E12+K12)-B12,0))</f>
        <v/>
      </c>
      <c r="H12" s="288">
        <f>IF(AND(B12=0,C12="",K12=0),"—",IF(C12="","PENDENTE",IF(D12&gt;C12,"INCONSISTENTE",IF(F12&gt;0,"FALTA",IF(G12&gt;0,"SOBRA","OK")))))</f>
        <v/>
      </c>
      <c r="I12" s="289" t="n"/>
      <c r="J12" s="285">
        <f>IF(I12="","",LOOKUP(I12,MOTIVO!$A$4:$A$23,MOTIVO!$B$4:$B$23))</f>
        <v/>
      </c>
      <c r="K12" s="290">
        <f>SUMIFS(COMPLEMENTOS!$I$60:$I$559,COMPLEMENTOS!$D$60:$D$559,$B$5,COMPLEMENTOS!$C$60:$C$559,$A12)</f>
        <v/>
      </c>
      <c r="L12" s="291" t="n"/>
      <c r="M12" s="292">
        <f>E12+K12</f>
        <v/>
      </c>
      <c r="N12" s="349">
        <f>IF(C12="",0,MAX(B12-E12,0))</f>
        <v/>
      </c>
      <c r="O12" s="349">
        <f>IF(C12="",0,MAX(E12-B12,0))</f>
        <v/>
      </c>
      <c r="P12" s="350">
        <f>IF(AND(B12=0,C12=""),"—",IF(C12="","PENDENTE",IF(D12&gt;C12,"INCONSISTENTE",IF(N12&gt;0,"FALTA",IF(O12&gt;0,"SOBRA","OK")))))</f>
        <v/>
      </c>
    </row>
    <row r="13" ht="19.5" customHeight="1" s="163">
      <c r="A13" s="285" t="inlineStr">
        <is>
          <t>Banana prata</t>
        </is>
      </c>
      <c r="B13" s="286">
        <f>INDEX('Entrada de Dados'!G$6:G$196,MATCH($B$5,'Entrada de Dados'!$A$6:$A$196,0))</f>
        <v/>
      </c>
      <c r="C13" s="287" t="n"/>
      <c r="D13" s="287" t="n"/>
      <c r="E13" s="286">
        <f>IF(C13="",0,MAX(C13-D13,0))</f>
        <v/>
      </c>
      <c r="F13" s="286">
        <f>IF(C13="",0,MAX(B13-(E13+K13),0))</f>
        <v/>
      </c>
      <c r="G13" s="286">
        <f>IF(C13="",0,MAX((E13+K13)-B13,0))</f>
        <v/>
      </c>
      <c r="H13" s="288">
        <f>IF(AND(B13=0,C13="",K13=0),"—",IF(C13="","PENDENTE",IF(D13&gt;C13,"INCONSISTENTE",IF(F13&gt;0,"FALTA",IF(G13&gt;0,"SOBRA","OK")))))</f>
        <v/>
      </c>
      <c r="I13" s="289" t="n"/>
      <c r="J13" s="285">
        <f>IF(I13="","",LOOKUP(I13,MOTIVO!$A$4:$A$23,MOTIVO!$B$4:$B$23))</f>
        <v/>
      </c>
      <c r="K13" s="290">
        <f>SUMIFS(COMPLEMENTOS!$I$60:$I$559,COMPLEMENTOS!$D$60:$D$559,$B$5,COMPLEMENTOS!$C$60:$C$559,$A13)</f>
        <v/>
      </c>
      <c r="L13" s="291" t="n"/>
      <c r="M13" s="292">
        <f>E13+K13</f>
        <v/>
      </c>
      <c r="N13" s="349">
        <f>IF(C13="",0,MAX(B13-E13,0))</f>
        <v/>
      </c>
      <c r="O13" s="349">
        <f>IF(C13="",0,MAX(E13-B13,0))</f>
        <v/>
      </c>
      <c r="P13" s="350">
        <f>IF(AND(B13=0,C13=""),"—",IF(C13="","PENDENTE",IF(D13&gt;C13,"INCONSISTENTE",IF(N13&gt;0,"FALTA",IF(O13&gt;0,"SOBRA","OK")))))</f>
        <v/>
      </c>
    </row>
    <row r="14" ht="19.5" customHeight="1" s="163">
      <c r="A14" s="285" t="inlineStr">
        <is>
          <t>Batata inglesa</t>
        </is>
      </c>
      <c r="B14" s="286">
        <f>INDEX('Entrada de Dados'!H$6:H$196,MATCH($B$5,'Entrada de Dados'!$A$6:$A$196,0))</f>
        <v/>
      </c>
      <c r="C14" s="287" t="n"/>
      <c r="D14" s="287" t="n"/>
      <c r="E14" s="286">
        <f>IF(C14="",0,MAX(C14-D14,0))</f>
        <v/>
      </c>
      <c r="F14" s="286">
        <f>IF(C14="",0,MAX(B14-(E14+K14),0))</f>
        <v/>
      </c>
      <c r="G14" s="286">
        <f>IF(C14="",0,MAX((E14+K14)-B14,0))</f>
        <v/>
      </c>
      <c r="H14" s="288">
        <f>IF(AND(B14=0,C14="",K14=0),"—",IF(C14="","PENDENTE",IF(D14&gt;C14,"INCONSISTENTE",IF(F14&gt;0,"FALTA",IF(G14&gt;0,"SOBRA","OK")))))</f>
        <v/>
      </c>
      <c r="I14" s="289" t="n"/>
      <c r="J14" s="285">
        <f>IF(I14="","",LOOKUP(I14,MOTIVO!$A$4:$A$23,MOTIVO!$B$4:$B$23))</f>
        <v/>
      </c>
      <c r="K14" s="290">
        <f>SUMIFS(COMPLEMENTOS!$I$60:$I$559,COMPLEMENTOS!$D$60:$D$559,$B$5,COMPLEMENTOS!$C$60:$C$559,$A14)</f>
        <v/>
      </c>
      <c r="L14" s="291" t="n"/>
      <c r="M14" s="292">
        <f>E14+K14</f>
        <v/>
      </c>
      <c r="N14" s="349">
        <f>IF(C14="",0,MAX(B14-E14,0))</f>
        <v/>
      </c>
      <c r="O14" s="349">
        <f>IF(C14="",0,MAX(E14-B14,0))</f>
        <v/>
      </c>
      <c r="P14" s="350">
        <f>IF(AND(B14=0,C14=""),"—",IF(C14="","PENDENTE",IF(D14&gt;C14,"INCONSISTENTE",IF(N14&gt;0,"FALTA",IF(O14&gt;0,"SOBRA","OK")))))</f>
        <v/>
      </c>
    </row>
    <row r="15" ht="19.5" customHeight="1" s="163">
      <c r="A15" s="285" t="inlineStr">
        <is>
          <t>Beterraba</t>
        </is>
      </c>
      <c r="B15" s="286">
        <f>INDEX('Entrada de Dados'!I$6:I$196,MATCH($B$5,'Entrada de Dados'!$A$6:$A$196,0))</f>
        <v/>
      </c>
      <c r="C15" s="287" t="n"/>
      <c r="D15" s="287" t="n"/>
      <c r="E15" s="286">
        <f>IF(C15="",0,MAX(C15-D15,0))</f>
        <v/>
      </c>
      <c r="F15" s="286">
        <f>IF(C15="",0,MAX(B15-(E15+K15),0))</f>
        <v/>
      </c>
      <c r="G15" s="286">
        <f>IF(C15="",0,MAX((E15+K15)-B15,0))</f>
        <v/>
      </c>
      <c r="H15" s="288">
        <f>IF(AND(B15=0,C15="",K15=0),"—",IF(C15="","PENDENTE",IF(D15&gt;C15,"INCONSISTENTE",IF(F15&gt;0,"FALTA",IF(G15&gt;0,"SOBRA","OK")))))</f>
        <v/>
      </c>
      <c r="I15" s="289" t="n"/>
      <c r="J15" s="285">
        <f>IF(I15="","",LOOKUP(I15,MOTIVO!$A$4:$A$23,MOTIVO!$B$4:$B$23))</f>
        <v/>
      </c>
      <c r="K15" s="290">
        <f>SUMIFS(COMPLEMENTOS!$I$60:$I$559,COMPLEMENTOS!$D$60:$D$559,$B$5,COMPLEMENTOS!$C$60:$C$559,$A15)</f>
        <v/>
      </c>
      <c r="L15" s="291" t="n"/>
      <c r="M15" s="292">
        <f>E15+K15</f>
        <v/>
      </c>
      <c r="N15" s="349">
        <f>IF(C15="",0,MAX(B15-E15,0))</f>
        <v/>
      </c>
      <c r="O15" s="349">
        <f>IF(C15="",0,MAX(E15-B15,0))</f>
        <v/>
      </c>
      <c r="P15" s="350">
        <f>IF(AND(B15=0,C15=""),"—",IF(C15="","PENDENTE",IF(D15&gt;C15,"INCONSISTENTE",IF(N15&gt;0,"FALTA",IF(O15&gt;0,"SOBRA","OK")))))</f>
        <v/>
      </c>
    </row>
    <row r="16" ht="19.5" customHeight="1" s="163">
      <c r="A16" s="285" t="inlineStr">
        <is>
          <t>Brócolis</t>
        </is>
      </c>
      <c r="B16" s="286">
        <f>INDEX('Entrada de Dados'!J$6:J$196,MATCH($B$5,'Entrada de Dados'!$A$6:$A$196,0))</f>
        <v/>
      </c>
      <c r="C16" s="287" t="n"/>
      <c r="D16" s="287" t="n"/>
      <c r="E16" s="286">
        <f>IF(C16="",0,MAX(C16-D16,0))</f>
        <v/>
      </c>
      <c r="F16" s="286">
        <f>IF(C16="",0,MAX(B16-(E16+K16),0))</f>
        <v/>
      </c>
      <c r="G16" s="286">
        <f>IF(C16="",0,MAX((E16+K16)-B16,0))</f>
        <v/>
      </c>
      <c r="H16" s="288">
        <f>IF(AND(B16=0,C16="",K16=0),"—",IF(C16="","PENDENTE",IF(D16&gt;C16,"INCONSISTENTE",IF(F16&gt;0,"FALTA",IF(G16&gt;0,"SOBRA","OK")))))</f>
        <v/>
      </c>
      <c r="I16" s="289" t="n"/>
      <c r="J16" s="285">
        <f>IF(I16="","",LOOKUP(I16,MOTIVO!$A$4:$A$23,MOTIVO!$B$4:$B$23))</f>
        <v/>
      </c>
      <c r="K16" s="290">
        <f>SUMIFS(COMPLEMENTOS!$I$60:$I$559,COMPLEMENTOS!$D$60:$D$559,$B$5,COMPLEMENTOS!$C$60:$C$559,$A16)</f>
        <v/>
      </c>
      <c r="L16" s="291" t="n"/>
      <c r="M16" s="292">
        <f>E16+K16</f>
        <v/>
      </c>
      <c r="N16" s="349">
        <f>IF(C16="",0,MAX(B16-E16,0))</f>
        <v/>
      </c>
      <c r="O16" s="349">
        <f>IF(C16="",0,MAX(E16-B16,0))</f>
        <v/>
      </c>
      <c r="P16" s="350">
        <f>IF(AND(B16=0,C16=""),"—",IF(C16="","PENDENTE",IF(D16&gt;C16,"INCONSISTENTE",IF(N16&gt;0,"FALTA",IF(O16&gt;0,"SOBRA","OK")))))</f>
        <v/>
      </c>
    </row>
    <row r="17" ht="19.5" customHeight="1" s="163">
      <c r="A17" s="285" t="inlineStr">
        <is>
          <t>Cenoura</t>
        </is>
      </c>
      <c r="B17" s="286">
        <f>INDEX('Entrada de Dados'!K$6:K$196,MATCH($B$5,'Entrada de Dados'!$A$6:$A$196,0))</f>
        <v/>
      </c>
      <c r="C17" s="287" t="n"/>
      <c r="D17" s="287" t="n"/>
      <c r="E17" s="286">
        <f>IF(C17="",0,MAX(C17-D17,0))</f>
        <v/>
      </c>
      <c r="F17" s="286">
        <f>IF(C17="",0,MAX(B17-(E17+K17),0))</f>
        <v/>
      </c>
      <c r="G17" s="286">
        <f>IF(C17="",0,MAX((E17+K17)-B17,0))</f>
        <v/>
      </c>
      <c r="H17" s="288">
        <f>IF(AND(B17=0,C17="",K17=0),"—",IF(C17="","PENDENTE",IF(D17&gt;C17,"INCONSISTENTE",IF(F17&gt;0,"FALTA",IF(G17&gt;0,"SOBRA","OK")))))</f>
        <v/>
      </c>
      <c r="I17" s="289" t="n"/>
      <c r="J17" s="285">
        <f>IF(I17="","",LOOKUP(I17,MOTIVO!$A$4:$A$23,MOTIVO!$B$4:$B$23))</f>
        <v/>
      </c>
      <c r="K17" s="290">
        <f>SUMIFS(COMPLEMENTOS!$I$60:$I$559,COMPLEMENTOS!$D$60:$D$559,$B$5,COMPLEMENTOS!$C$60:$C$559,$A17)</f>
        <v/>
      </c>
      <c r="L17" s="291" t="n"/>
      <c r="M17" s="292">
        <f>E17+K17</f>
        <v/>
      </c>
      <c r="N17" s="349">
        <f>IF(C17="",0,MAX(B17-E17,0))</f>
        <v/>
      </c>
      <c r="O17" s="349">
        <f>IF(C17="",0,MAX(E17-B17,0))</f>
        <v/>
      </c>
      <c r="P17" s="350">
        <f>IF(AND(B17=0,C17=""),"—",IF(C17="","PENDENTE",IF(D17&gt;C17,"INCONSISTENTE",IF(N17&gt;0,"FALTA",IF(O17&gt;0,"SOBRA","OK")))))</f>
        <v/>
      </c>
    </row>
    <row r="18" ht="19.5" customHeight="1" s="163">
      <c r="A18" s="285" t="inlineStr">
        <is>
          <t>Cheiro verde</t>
        </is>
      </c>
      <c r="B18" s="286">
        <f>INDEX('Entrada de Dados'!L$6:L$196,MATCH($B$5,'Entrada de Dados'!$A$6:$A$196,0))</f>
        <v/>
      </c>
      <c r="C18" s="287" t="n"/>
      <c r="D18" s="287" t="n"/>
      <c r="E18" s="286">
        <f>IF(C18="",0,MAX(C18-D18,0))</f>
        <v/>
      </c>
      <c r="F18" s="286">
        <f>IF(C18="",0,MAX(B18-(E18+K18),0))</f>
        <v/>
      </c>
      <c r="G18" s="286">
        <f>IF(C18="",0,MAX((E18+K18)-B18,0))</f>
        <v/>
      </c>
      <c r="H18" s="288">
        <f>IF(AND(B18=0,C18="",K18=0),"—",IF(C18="","PENDENTE",IF(D18&gt;C18,"INCONSISTENTE",IF(F18&gt;0,"FALTA",IF(G18&gt;0,"SOBRA","OK")))))</f>
        <v/>
      </c>
      <c r="I18" s="289" t="n"/>
      <c r="J18" s="285">
        <f>IF(I18="","",LOOKUP(I18,MOTIVO!$A$4:$A$23,MOTIVO!$B$4:$B$23))</f>
        <v/>
      </c>
      <c r="K18" s="290">
        <f>SUMIFS(COMPLEMENTOS!$I$60:$I$559,COMPLEMENTOS!$D$60:$D$559,$B$5,COMPLEMENTOS!$C$60:$C$559,$A18)</f>
        <v/>
      </c>
      <c r="L18" s="291" t="n"/>
      <c r="M18" s="292">
        <f>E18+K18</f>
        <v/>
      </c>
      <c r="N18" s="349">
        <f>IF(C18="",0,MAX(B18-E18,0))</f>
        <v/>
      </c>
      <c r="O18" s="349">
        <f>IF(C18="",0,MAX(E18-B18,0))</f>
        <v/>
      </c>
      <c r="P18" s="350">
        <f>IF(AND(B18=0,C18=""),"—",IF(C18="","PENDENTE",IF(D18&gt;C18,"INCONSISTENTE",IF(N18&gt;0,"FALTA",IF(O18&gt;0,"SOBRA","OK")))))</f>
        <v/>
      </c>
    </row>
    <row r="19" ht="19.5" customHeight="1" s="163">
      <c r="A19" s="285" t="inlineStr">
        <is>
          <t>Chuchu</t>
        </is>
      </c>
      <c r="B19" s="286">
        <f>INDEX('Entrada de Dados'!M$6:M$196,MATCH($B$5,'Entrada de Dados'!$A$6:$A$196,0))</f>
        <v/>
      </c>
      <c r="C19" s="287" t="n"/>
      <c r="D19" s="287" t="n"/>
      <c r="E19" s="286">
        <f>IF(C19="",0,MAX(C19-D19,0))</f>
        <v/>
      </c>
      <c r="F19" s="286">
        <f>IF(C19="",0,MAX(B19-(E19+K19),0))</f>
        <v/>
      </c>
      <c r="G19" s="286">
        <f>IF(C19="",0,MAX((E19+K19)-B19,0))</f>
        <v/>
      </c>
      <c r="H19" s="288">
        <f>IF(AND(B19=0,C19="",K19=0),"—",IF(C19="","PENDENTE",IF(D19&gt;C19,"INCONSISTENTE",IF(F19&gt;0,"FALTA",IF(G19&gt;0,"SOBRA","OK")))))</f>
        <v/>
      </c>
      <c r="I19" s="289" t="n"/>
      <c r="J19" s="285">
        <f>IF(I19="","",LOOKUP(I19,MOTIVO!$A$4:$A$23,MOTIVO!$B$4:$B$23))</f>
        <v/>
      </c>
      <c r="K19" s="290">
        <f>SUMIFS(COMPLEMENTOS!$I$60:$I$559,COMPLEMENTOS!$D$60:$D$559,$B$5,COMPLEMENTOS!$C$60:$C$559,$A19)</f>
        <v/>
      </c>
      <c r="L19" s="291" t="n"/>
      <c r="M19" s="292">
        <f>E19+K19</f>
        <v/>
      </c>
      <c r="N19" s="349">
        <f>IF(C19="",0,MAX(B19-E19,0))</f>
        <v/>
      </c>
      <c r="O19" s="349">
        <f>IF(C19="",0,MAX(E19-B19,0))</f>
        <v/>
      </c>
      <c r="P19" s="350">
        <f>IF(AND(B19=0,C19=""),"—",IF(C19="","PENDENTE",IF(D19&gt;C19,"INCONSISTENTE",IF(N19&gt;0,"FALTA",IF(O19&gt;0,"SOBRA","OK")))))</f>
        <v/>
      </c>
    </row>
    <row r="20" ht="19.5" customHeight="1" s="163">
      <c r="A20" s="285" t="inlineStr">
        <is>
          <t>Couve manteiga</t>
        </is>
      </c>
      <c r="B20" s="286">
        <f>INDEX('Entrada de Dados'!N$6:N$196,MATCH($B$5,'Entrada de Dados'!$A$6:$A$196,0))</f>
        <v/>
      </c>
      <c r="C20" s="287" t="n"/>
      <c r="D20" s="287" t="n"/>
      <c r="E20" s="286">
        <f>IF(C20="",0,MAX(C20-D20,0))</f>
        <v/>
      </c>
      <c r="F20" s="286">
        <f>IF(C20="",0,MAX(B20-(E20+K20),0))</f>
        <v/>
      </c>
      <c r="G20" s="286">
        <f>IF(C20="",0,MAX((E20+K20)-B20,0))</f>
        <v/>
      </c>
      <c r="H20" s="288">
        <f>IF(AND(B20=0,C20="",K20=0),"—",IF(C20="","PENDENTE",IF(D20&gt;C20,"INCONSISTENTE",IF(F20&gt;0,"FALTA",IF(G20&gt;0,"SOBRA","OK")))))</f>
        <v/>
      </c>
      <c r="I20" s="289" t="n"/>
      <c r="J20" s="285">
        <f>IF(I20="","",LOOKUP(I20,MOTIVO!$A$4:$A$23,MOTIVO!$B$4:$B$23))</f>
        <v/>
      </c>
      <c r="K20" s="290">
        <f>SUMIFS(COMPLEMENTOS!$I$60:$I$559,COMPLEMENTOS!$D$60:$D$559,$B$5,COMPLEMENTOS!$C$60:$C$559,$A20)</f>
        <v/>
      </c>
      <c r="L20" s="291" t="n"/>
      <c r="M20" s="292">
        <f>E20+K20</f>
        <v/>
      </c>
      <c r="N20" s="349">
        <f>IF(C20="",0,MAX(B20-E20,0))</f>
        <v/>
      </c>
      <c r="O20" s="349">
        <f>IF(C20="",0,MAX(E20-B20,0))</f>
        <v/>
      </c>
      <c r="P20" s="350">
        <f>IF(AND(B20=0,C20=""),"—",IF(C20="","PENDENTE",IF(D20&gt;C20,"INCONSISTENTE",IF(N20&gt;0,"FALTA",IF(O20&gt;0,"SOBRA","OK")))))</f>
        <v/>
      </c>
    </row>
    <row r="21" ht="19.5" customHeight="1" s="163">
      <c r="A21" s="285" t="inlineStr">
        <is>
          <t>Couve-flor</t>
        </is>
      </c>
      <c r="B21" s="286">
        <f>INDEX('Entrada de Dados'!O$6:O$196,MATCH($B$5,'Entrada de Dados'!$A$6:$A$196,0))</f>
        <v/>
      </c>
      <c r="C21" s="287" t="n"/>
      <c r="D21" s="287" t="n"/>
      <c r="E21" s="286">
        <f>IF(C21="",0,MAX(C21-D21,0))</f>
        <v/>
      </c>
      <c r="F21" s="286">
        <f>IF(C21="",0,MAX(B21-(E21+K21),0))</f>
        <v/>
      </c>
      <c r="G21" s="286">
        <f>IF(C21="",0,MAX((E21+K21)-B21,0))</f>
        <v/>
      </c>
      <c r="H21" s="288">
        <f>IF(AND(B21=0,C21="",K21=0),"—",IF(C21="","PENDENTE",IF(D21&gt;C21,"INCONSISTENTE",IF(F21&gt;0,"FALTA",IF(G21&gt;0,"SOBRA","OK")))))</f>
        <v/>
      </c>
      <c r="I21" s="289" t="n"/>
      <c r="J21" s="285">
        <f>IF(I21="","",LOOKUP(I21,MOTIVO!$A$4:$A$23,MOTIVO!$B$4:$B$23))</f>
        <v/>
      </c>
      <c r="K21" s="290">
        <f>SUMIFS(COMPLEMENTOS!$I$60:$I$559,COMPLEMENTOS!$D$60:$D$559,$B$5,COMPLEMENTOS!$C$60:$C$559,$A21)</f>
        <v/>
      </c>
      <c r="L21" s="291" t="n"/>
      <c r="M21" s="292">
        <f>E21+K21</f>
        <v/>
      </c>
      <c r="N21" s="349">
        <f>IF(C21="",0,MAX(B21-E21,0))</f>
        <v/>
      </c>
      <c r="O21" s="349">
        <f>IF(C21="",0,MAX(E21-B21,0))</f>
        <v/>
      </c>
      <c r="P21" s="350">
        <f>IF(AND(B21=0,C21=""),"—",IF(C21="","PENDENTE",IF(D21&gt;C21,"INCONSISTENTE",IF(N21&gt;0,"FALTA",IF(O21&gt;0,"SOBRA","OK")))))</f>
        <v/>
      </c>
    </row>
    <row r="22" ht="19.5" customHeight="1" s="163">
      <c r="A22" s="285" t="inlineStr">
        <is>
          <t>Espinafre</t>
        </is>
      </c>
      <c r="B22" s="286">
        <f>INDEX('Entrada de Dados'!P$6:P$196,MATCH($B$5,'Entrada de Dados'!$A$6:$A$196,0))</f>
        <v/>
      </c>
      <c r="C22" s="287" t="n"/>
      <c r="D22" s="287" t="n"/>
      <c r="E22" s="286">
        <f>IF(C22="",0,MAX(C22-D22,0))</f>
        <v/>
      </c>
      <c r="F22" s="286">
        <f>IF(C22="",0,MAX(B22-(E22+K22),0))</f>
        <v/>
      </c>
      <c r="G22" s="286">
        <f>IF(C22="",0,MAX((E22+K22)-B22,0))</f>
        <v/>
      </c>
      <c r="H22" s="288">
        <f>IF(AND(B22=0,C22="",K22=0),"—",IF(C22="","PENDENTE",IF(D22&gt;C22,"INCONSISTENTE",IF(F22&gt;0,"FALTA",IF(G22&gt;0,"SOBRA","OK")))))</f>
        <v/>
      </c>
      <c r="I22" s="289" t="n"/>
      <c r="J22" s="285">
        <f>IF(I22="","",LOOKUP(I22,MOTIVO!$A$4:$A$23,MOTIVO!$B$4:$B$23))</f>
        <v/>
      </c>
      <c r="K22" s="290">
        <f>SUMIFS(COMPLEMENTOS!$I$60:$I$559,COMPLEMENTOS!$D$60:$D$559,$B$5,COMPLEMENTOS!$C$60:$C$559,$A22)</f>
        <v/>
      </c>
      <c r="L22" s="291" t="n"/>
      <c r="M22" s="292">
        <f>E22+K22</f>
        <v/>
      </c>
      <c r="N22" s="349">
        <f>IF(C22="",0,MAX(B22-E22,0))</f>
        <v/>
      </c>
      <c r="O22" s="349">
        <f>IF(C22="",0,MAX(E22-B22,0))</f>
        <v/>
      </c>
      <c r="P22" s="350">
        <f>IF(AND(B22=0,C22=""),"—",IF(C22="","PENDENTE",IF(D22&gt;C22,"INCONSISTENTE",IF(N22&gt;0,"FALTA",IF(O22&gt;0,"SOBRA","OK")))))</f>
        <v/>
      </c>
    </row>
    <row r="23" ht="19.5" customHeight="1" s="163">
      <c r="A23" s="285" t="inlineStr">
        <is>
          <t>Maçã gala</t>
        </is>
      </c>
      <c r="B23" s="286">
        <f>INDEX('Entrada de Dados'!Q$6:Q$196,MATCH($B$5,'Entrada de Dados'!$A$6:$A$196,0))</f>
        <v/>
      </c>
      <c r="C23" s="287" t="n"/>
      <c r="D23" s="287" t="n"/>
      <c r="E23" s="286">
        <f>IF(C23="",0,MAX(C23-D23,0))</f>
        <v/>
      </c>
      <c r="F23" s="286">
        <f>IF(C23="",0,MAX(B23-(E23+K23),0))</f>
        <v/>
      </c>
      <c r="G23" s="286">
        <f>IF(C23="",0,MAX((E23+K23)-B23,0))</f>
        <v/>
      </c>
      <c r="H23" s="288">
        <f>IF(AND(B23=0,C23="",K23=0),"—",IF(C23="","PENDENTE",IF(D23&gt;C23,"INCONSISTENTE",IF(F23&gt;0,"FALTA",IF(G23&gt;0,"SOBRA","OK")))))</f>
        <v/>
      </c>
      <c r="I23" s="289" t="n"/>
      <c r="J23" s="285">
        <f>IF(I23="","",LOOKUP(I23,MOTIVO!$A$4:$A$23,MOTIVO!$B$4:$B$23))</f>
        <v/>
      </c>
      <c r="K23" s="290">
        <f>SUMIFS(COMPLEMENTOS!$I$60:$I$559,COMPLEMENTOS!$D$60:$D$559,$B$5,COMPLEMENTOS!$C$60:$C$559,$A23)</f>
        <v/>
      </c>
      <c r="L23" s="291" t="n"/>
      <c r="M23" s="292">
        <f>E23+K23</f>
        <v/>
      </c>
      <c r="N23" s="349">
        <f>IF(C23="",0,MAX(B23-E23,0))</f>
        <v/>
      </c>
      <c r="O23" s="349">
        <f>IF(C23="",0,MAX(E23-B23,0))</f>
        <v/>
      </c>
      <c r="P23" s="350">
        <f>IF(AND(B23=0,C23=""),"—",IF(C23="","PENDENTE",IF(D23&gt;C23,"INCONSISTENTE",IF(N23&gt;0,"FALTA",IF(O23&gt;0,"SOBRA","OK")))))</f>
        <v/>
      </c>
    </row>
    <row r="24" ht="19.5" customHeight="1" s="163">
      <c r="A24" s="285" t="inlineStr">
        <is>
          <t>Mel</t>
        </is>
      </c>
      <c r="B24" s="286">
        <f>INDEX('Entrada de Dados'!R$6:R$196,MATCH($B$5,'Entrada de Dados'!$A$6:$A$196,0))</f>
        <v/>
      </c>
      <c r="C24" s="287" t="n"/>
      <c r="D24" s="287" t="n"/>
      <c r="E24" s="286">
        <f>IF(C24="",0,MAX(C24-D24,0))</f>
        <v/>
      </c>
      <c r="F24" s="286">
        <f>IF(C24="",0,MAX(B24-(E24+K24),0))</f>
        <v/>
      </c>
      <c r="G24" s="286">
        <f>IF(C24="",0,MAX((E24+K24)-B24,0))</f>
        <v/>
      </c>
      <c r="H24" s="288">
        <f>IF(AND(B24=0,C24="",K24=0),"—",IF(C24="","PENDENTE",IF(D24&gt;C24,"INCONSISTENTE",IF(F24&gt;0,"FALTA",IF(G24&gt;0,"SOBRA","OK")))))</f>
        <v/>
      </c>
      <c r="I24" s="289" t="n"/>
      <c r="J24" s="285">
        <f>IF(I24="","",LOOKUP(I24,MOTIVO!$A$4:$A$23,MOTIVO!$B$4:$B$23))</f>
        <v/>
      </c>
      <c r="K24" s="290">
        <f>SUMIFS(COMPLEMENTOS!$I$60:$I$559,COMPLEMENTOS!$D$60:$D$559,$B$5,COMPLEMENTOS!$C$60:$C$559,$A24)</f>
        <v/>
      </c>
      <c r="L24" s="291" t="n"/>
      <c r="M24" s="292">
        <f>E24+K24</f>
        <v/>
      </c>
      <c r="N24" s="349">
        <f>IF(C24="",0,MAX(B24-E24,0))</f>
        <v/>
      </c>
      <c r="O24" s="349">
        <f>IF(C24="",0,MAX(E24-B24,0))</f>
        <v/>
      </c>
      <c r="P24" s="350">
        <f>IF(AND(B24=0,C24=""),"—",IF(C24="","PENDENTE",IF(D24&gt;C24,"INCONSISTENTE",IF(N24&gt;0,"FALTA",IF(O24&gt;0,"SOBRA","OK")))))</f>
        <v/>
      </c>
    </row>
    <row r="25" hidden="1" ht="19.5" customHeight="1" s="163">
      <c r="A25" s="285" t="inlineStr">
        <is>
          <t>Ovos (dz)</t>
        </is>
      </c>
      <c r="B25" s="286">
        <f>INDEX('Entrada de Dados'!S$6:S$196,MATCH($B$5,'Entrada de Dados'!$A$6:$A$196,0))</f>
        <v/>
      </c>
      <c r="C25" s="324" t="n"/>
      <c r="D25" s="324" t="n"/>
      <c r="E25" s="286">
        <f>IF(C25="",0,MAX(C25-D25,0))</f>
        <v/>
      </c>
      <c r="F25" s="286">
        <f>IF(C25="",0,MAX(B25-(E25+K25),0))</f>
        <v/>
      </c>
      <c r="G25" s="286">
        <f>IF(C25="",0,MAX((E25+K25)-B25,0))</f>
        <v/>
      </c>
      <c r="H25" s="288">
        <f>IF(AND(B25=0,C25="",K25=0),"—",IF(C25="","PENDENTE",IF(D25&gt;C25,"INCONSISTENTE",IF(F25&gt;0,"FALTA",IF(G25&gt;0,"SOBRA","OK")))))</f>
        <v/>
      </c>
      <c r="I25" s="325" t="n"/>
      <c r="J25" s="285">
        <f>IF(I25="","",LOOKUP(I25,MOTIVO!$A$4:$A$23,MOTIVO!$B$4:$B$23))</f>
        <v/>
      </c>
      <c r="K25" s="290">
        <f>SUMIFS(COMPLEMENTOS!$I$60:$I$559,COMPLEMENTOS!$D$60:$D$559,$B$5,COMPLEMENTOS!$C$60:$C$559,$A25)</f>
        <v/>
      </c>
      <c r="L25" s="291" t="n"/>
      <c r="M25" s="292">
        <f>E25+K25</f>
        <v/>
      </c>
      <c r="N25" s="349">
        <f>IF(C25="",0,MAX(B25-E25,0))</f>
        <v/>
      </c>
      <c r="O25" s="349">
        <f>IF(C25="",0,MAX(E25-B25,0))</f>
        <v/>
      </c>
      <c r="P25" s="350">
        <f>IF(AND(B25=0,C25=""),"—",IF(C25="","PENDENTE",IF(D25&gt;C25,"INCONSISTENTE",IF(N25&gt;0,"FALTA",IF(O25&gt;0,"SOBRA","OK")))))</f>
        <v/>
      </c>
    </row>
    <row r="26" ht="19.5" customHeight="1" s="163">
      <c r="A26" s="285" t="inlineStr">
        <is>
          <t>Repolho</t>
        </is>
      </c>
      <c r="B26" s="286">
        <f>INDEX('Entrada de Dados'!T$6:T$196,MATCH($B$5,'Entrada de Dados'!$A$6:$A$196,0))</f>
        <v/>
      </c>
      <c r="C26" s="287" t="n"/>
      <c r="D26" s="287" t="n"/>
      <c r="E26" s="286">
        <f>IF(C26="",0,MAX(C26-D26,0))</f>
        <v/>
      </c>
      <c r="F26" s="286">
        <f>IF(C26="",0,MAX(B26-(E26+K26),0))</f>
        <v/>
      </c>
      <c r="G26" s="286">
        <f>IF(C26="",0,MAX((E26+K26)-B26,0))</f>
        <v/>
      </c>
      <c r="H26" s="288">
        <f>IF(AND(B26=0,C26="",K26=0),"—",IF(C26="","PENDENTE",IF(D26&gt;C26,"INCONSISTENTE",IF(F26&gt;0,"FALTA",IF(G26&gt;0,"SOBRA","OK")))))</f>
        <v/>
      </c>
      <c r="I26" s="289" t="n"/>
      <c r="J26" s="285">
        <f>IF(I26="","",LOOKUP(I26,MOTIVO!$A$4:$A$23,MOTIVO!$B$4:$B$23))</f>
        <v/>
      </c>
      <c r="K26" s="290">
        <f>SUMIFS(COMPLEMENTOS!$I$60:$I$559,COMPLEMENTOS!$D$60:$D$559,$B$5,COMPLEMENTOS!$C$60:$C$559,$A26)</f>
        <v/>
      </c>
      <c r="L26" s="291" t="n"/>
      <c r="M26" s="292">
        <f>E26+K26</f>
        <v/>
      </c>
      <c r="N26" s="349">
        <f>IF(C26="",0,MAX(B26-E26,0))</f>
        <v/>
      </c>
      <c r="O26" s="349">
        <f>IF(C26="",0,MAX(E26-B26,0))</f>
        <v/>
      </c>
      <c r="P26" s="350">
        <f>IF(AND(B26=0,C26=""),"—",IF(C26="","PENDENTE",IF(D26&gt;C26,"INCONSISTENTE",IF(N26&gt;0,"FALTA",IF(O26&gt;0,"SOBRA","OK")))))</f>
        <v/>
      </c>
    </row>
    <row r="27" ht="19.5" customHeight="1" s="163">
      <c r="A27" s="285" t="inlineStr">
        <is>
          <t>Tangerina ponkan</t>
        </is>
      </c>
      <c r="B27" s="286">
        <f>INDEX('Entrada de Dados'!U$6:U$196,MATCH($B$5,'Entrada de Dados'!$A$6:$A$196,0))</f>
        <v/>
      </c>
      <c r="C27" s="287" t="n"/>
      <c r="D27" s="287" t="n"/>
      <c r="E27" s="286">
        <f>IF(C27="",0,MAX(C27-D27,0))</f>
        <v/>
      </c>
      <c r="F27" s="286">
        <f>IF(C27="",0,MAX(B27-(E27+K27),0))</f>
        <v/>
      </c>
      <c r="G27" s="286">
        <f>IF(C27="",0,MAX((E27+K27)-B27,0))</f>
        <v/>
      </c>
      <c r="H27" s="288">
        <f>IF(AND(B27=0,C27="",K27=0),"—",IF(C27="","PENDENTE",IF(D27&gt;C27,"INCONSISTENTE",IF(F27&gt;0,"FALTA",IF(G27&gt;0,"SOBRA","OK")))))</f>
        <v/>
      </c>
      <c r="I27" s="289" t="n"/>
      <c r="J27" s="285">
        <f>IF(I27="","",LOOKUP(I27,MOTIVO!$A$4:$A$23,MOTIVO!$B$4:$B$23))</f>
        <v/>
      </c>
      <c r="K27" s="290">
        <f>SUMIFS(COMPLEMENTOS!$I$60:$I$559,COMPLEMENTOS!$D$60:$D$559,$B$5,COMPLEMENTOS!$C$60:$C$559,$A27)</f>
        <v/>
      </c>
      <c r="L27" s="291" t="n"/>
      <c r="M27" s="292">
        <f>E27+K27</f>
        <v/>
      </c>
      <c r="N27" s="349">
        <f>IF(C27="",0,MAX(B27-E27,0))</f>
        <v/>
      </c>
      <c r="O27" s="349">
        <f>IF(C27="",0,MAX(E27-B27,0))</f>
        <v/>
      </c>
      <c r="P27" s="350">
        <f>IF(AND(B27=0,C27=""),"—",IF(C27="","PENDENTE",IF(D27&gt;C27,"INCONSISTENTE",IF(N27&gt;0,"FALTA",IF(O27&gt;0,"SOBRA","OK")))))</f>
        <v/>
      </c>
    </row>
    <row r="29" ht="22" customHeight="1" s="163">
      <c r="A29" s="382" t="inlineStr">
        <is>
          <t>DATA DA ENTREGA:</t>
        </is>
      </c>
      <c r="B29" s="359" t="n"/>
      <c r="C29" s="365" t="n"/>
      <c r="D29" s="294" t="n"/>
      <c r="E29" s="404" t="n"/>
      <c r="F29" s="383" t="n"/>
      <c r="G29" s="360" t="n"/>
      <c r="H29" s="360" t="n"/>
      <c r="I29" s="383" t="n"/>
      <c r="J29" s="360" t="n"/>
      <c r="K29" s="360" t="n"/>
      <c r="L29" s="360" t="n"/>
    </row>
    <row r="30" ht="30" customHeight="1" s="163">
      <c r="A30" s="382" t="inlineStr">
        <is>
          <t>HORÁRIO REAL: ____:____</t>
        </is>
      </c>
      <c r="B30" s="359" t="n"/>
      <c r="C30" s="360" t="n"/>
      <c r="D30" s="360" t="n"/>
      <c r="E30" s="360" t="n"/>
      <c r="F30" s="360" t="n"/>
      <c r="G30" s="360" t="n"/>
      <c r="H30" s="360" t="n"/>
      <c r="I30" s="360" t="n"/>
      <c r="J30" s="360" t="n"/>
      <c r="K30" s="360" t="n"/>
      <c r="L30" s="360" t="n"/>
    </row>
    <row r="31" ht="15" customHeight="1" s="163">
      <c r="A31" s="382" t="inlineStr">
        <is>
          <t>ASSINATURA DO RESPONSÁVEL PELO RECEBIMENTO NA ESCOLA:</t>
        </is>
      </c>
      <c r="B31" s="359" t="n"/>
      <c r="C31" s="360" t="n"/>
      <c r="D31" s="360" t="n"/>
      <c r="E31" s="360" t="n"/>
      <c r="F31" s="360" t="n"/>
      <c r="G31" s="360" t="n"/>
      <c r="H31" s="360" t="n"/>
      <c r="I31" s="360" t="n"/>
      <c r="J31" s="360" t="n"/>
      <c r="K31" s="360" t="n"/>
      <c r="L31" s="360" t="n"/>
    </row>
    <row r="32" ht="32" customHeight="1" s="163">
      <c r="A32" s="388" t="n"/>
      <c r="B32" s="294" t="n"/>
      <c r="C32" s="294" t="n"/>
      <c r="D32" s="294" t="n"/>
      <c r="E32" s="294" t="n"/>
      <c r="K32" s="360" t="n"/>
      <c r="L32" s="360" t="n"/>
    </row>
    <row r="33">
      <c r="A33" s="360" t="n"/>
      <c r="B33" s="360" t="n"/>
      <c r="C33" s="360" t="n"/>
      <c r="D33" s="360" t="n"/>
      <c r="E33" s="360" t="n"/>
      <c r="F33" s="360" t="n"/>
      <c r="G33" s="360" t="n"/>
      <c r="H33" s="360" t="n"/>
      <c r="I33" s="360" t="n"/>
      <c r="J33" s="360" t="n"/>
      <c r="K33" s="360" t="n"/>
      <c r="L33" s="360" t="n"/>
    </row>
    <row r="34" ht="15" customHeight="1" s="163">
      <c r="A34" s="359" t="n"/>
      <c r="B34" s="360" t="n"/>
      <c r="C34" s="360" t="n"/>
      <c r="D34" s="360" t="n"/>
      <c r="E34" s="360" t="n"/>
      <c r="F34" s="360" t="n"/>
      <c r="G34" s="360" t="n"/>
      <c r="H34" s="360" t="n"/>
      <c r="I34" s="360" t="n"/>
      <c r="J34" s="360" t="n"/>
      <c r="K34" s="360" t="n"/>
      <c r="L34" s="360" t="n"/>
    </row>
  </sheetData>
  <sheetProtection selectLockedCells="0" selectUnlockedCells="0" sheet="1" objects="0" insertRows="1" insertHyperlinks="1" autoFilter="0" scenarios="0" formatColumns="1" deleteColumns="1" insertColumns="1" pivotTables="1" deleteRows="1" formatCells="1" formatRows="1" sort="1"/>
  <autoFilter ref="B8:B27"/>
  <mergeCells count="9">
    <mergeCell ref="C29:D29"/>
    <mergeCell ref="B4:E4"/>
    <mergeCell ref="A1:C1"/>
    <mergeCell ref="B6:E6"/>
    <mergeCell ref="B7:E7"/>
    <mergeCell ref="A32:E32"/>
    <mergeCell ref="B2:E2"/>
    <mergeCell ref="B3:E3"/>
    <mergeCell ref="B5:E5"/>
  </mergeCells>
  <conditionalFormatting sqref="H9:H27">
    <cfRule type="expression" rank="0" priority="2" equalAverage="0" aboveAverage="0" dxfId="2" text="" percent="0" bottom="0">
      <formula>H9="FALTA"</formula>
    </cfRule>
    <cfRule type="expression" rank="0" priority="3" equalAverage="0" aboveAverage="0" dxfId="13" text="" percent="0" bottom="0">
      <formula>H9="SOBRA"</formula>
    </cfRule>
    <cfRule type="expression" rank="0" priority="4" equalAverage="0" aboveAverage="0" dxfId="14" text="" percent="0" bottom="0">
      <formula>H9="OK"</formula>
    </cfRule>
    <cfRule type="expression" rank="0" priority="5" equalAverage="0" aboveAverage="0" dxfId="15" text="" percent="0" bottom="0">
      <formula>H9="PENDENTE"</formula>
    </cfRule>
  </conditionalFormatting>
  <conditionalFormatting sqref="C9:D27">
    <cfRule type="expression" rank="0" priority="6" equalAverage="0" aboveAverage="0" dxfId="2" text="" percent="0" bottom="0">
      <formula>AND($C9&lt;&gt;"",$D9&gt;$C9)</formula>
    </cfRule>
  </conditionalFormatting>
  <dataValidations count="21">
    <dataValidation sqref="C9:C27" showDropDown="0" showInputMessage="0" showErrorMessage="1" allowBlank="1" errorTitle="Quantidade inválida" error="O recebido bruto não pode ser negativo." type="decimal" errorStyle="stop" operator="greaterThanOrEqual">
      <formula1>0</formula1>
      <formula2>0</formula2>
    </dataValidation>
    <dataValidation sqref="D9:D27" showDropDown="0" showInputMessage="0" showErrorMessage="1" allowBlank="1" errorTitle="Rejeição maior que o recebido" error="A rejeição não pode ser negativa nem maior do que a quantidade recebida pela escola." type="custom" errorStyle="stop" operator="between">
      <formula1>AND(D9&gt;=0,D9&lt;=C9)</formula1>
      <formula2>0</formula2>
    </dataValidation>
    <dataValidation sqref="L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8"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19"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0"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1"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2"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3"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4"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5"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6"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 sqref="L27" showDropDown="0" showInputMessage="0" showErrorMessage="1" allowBlank="1" errorTitle="Opção inválida" error="Escolha: Em resolução, Resolvida ou Encerrada sem atendimento." type="list" errorStyle="stop" operator="between">
      <formula1>"Em resolução,Resolvida,Encerrada sem atendimento"</formula1>
      <formula2>0</formula2>
    </dataValidation>
  </dataValidations>
  <printOptions horizontalCentered="0" verticalCentered="0" headings="0" gridLines="0" gridLinesSet="1"/>
  <pageMargins left="0.5" right="0.5" top="0.9" bottom="0.6" header="0.4" footer="0.511811023622047"/>
  <pageSetup orientation="portrait"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1.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Ana Claudia Correa Ruas de Souza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Dados'!C201</f>
        <v/>
      </c>
      <c r="C6" s="303">
        <f>'Entrada de Dados'!C227</f>
        <v/>
      </c>
      <c r="D6" s="304" t="n"/>
      <c r="E6" s="415">
        <f>C6-D6</f>
        <v/>
      </c>
      <c r="F6" s="303">
        <f>'Entrada de Dados'!C2-3.67</f>
        <v/>
      </c>
      <c r="G6" s="303">
        <f>E6*F6</f>
        <v/>
      </c>
      <c r="H6" s="305" t="n"/>
      <c r="I6" s="353">
        <f>IF(H6="","",LOOKUP(H6,MOTIVO!$A$4:$A$23,MOTIVO!$B$4:$B$23))</f>
        <v/>
      </c>
    </row>
    <row r="7" ht="24" customHeight="1" s="163">
      <c r="A7" s="307" t="inlineStr">
        <is>
          <t>Abobrinha</t>
        </is>
      </c>
      <c r="B7" s="303">
        <f>'Entrada de Dados'!D201</f>
        <v/>
      </c>
      <c r="C7" s="303">
        <f>'Entrada de Dados'!D227</f>
        <v/>
      </c>
      <c r="D7" s="304" t="n"/>
      <c r="E7" s="415">
        <f>C7-D7</f>
        <v/>
      </c>
      <c r="F7" s="303">
        <f>'Entrada de Dados'!D2-3.67</f>
        <v/>
      </c>
      <c r="G7" s="303">
        <f>E7*F7</f>
        <v/>
      </c>
      <c r="H7" s="305" t="n"/>
      <c r="I7" s="353">
        <f>IF(H7="","",LOOKUP(H7,MOTIVO!$A$4:$A$23,MOTIVO!$B$4:$B$23))</f>
        <v/>
      </c>
    </row>
    <row r="8" ht="24" customHeight="1" s="163">
      <c r="A8" s="302" t="inlineStr">
        <is>
          <t>Agrião</t>
        </is>
      </c>
      <c r="B8" s="303">
        <f>'Entrada de Dados'!E201</f>
        <v/>
      </c>
      <c r="C8" s="303">
        <f>'Entrada de Dados'!E227</f>
        <v/>
      </c>
      <c r="D8" s="304" t="n"/>
      <c r="E8" s="415">
        <f>C8-D8</f>
        <v/>
      </c>
      <c r="F8" s="303">
        <f>'Entrada de Dados'!E2-3.67</f>
        <v/>
      </c>
      <c r="G8" s="303">
        <f>E8*F8</f>
        <v/>
      </c>
      <c r="H8" s="305" t="n"/>
      <c r="I8" s="353">
        <f>IF(H8="","",LOOKUP(H8,MOTIVO!$A$4:$A$23,MOTIVO!$B$4:$B$23))</f>
        <v/>
      </c>
    </row>
    <row r="9" ht="24" customHeight="1" s="163">
      <c r="A9" s="307" t="inlineStr">
        <is>
          <t>Alface lisa</t>
        </is>
      </c>
      <c r="B9" s="303">
        <f>'Entrada de Dados'!F201</f>
        <v/>
      </c>
      <c r="C9" s="303">
        <f>'Entrada de Dados'!F227</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Dados'!G201</f>
        <v/>
      </c>
      <c r="C10" s="303">
        <f>'Entrada de Dados'!G227</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Dados'!H201</f>
        <v/>
      </c>
      <c r="C11" s="303">
        <f>'Entrada de Dados'!H227</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Dados'!I201</f>
        <v/>
      </c>
      <c r="C12" s="303">
        <f>'Entrada de Dados'!I227</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Dados'!J201</f>
        <v/>
      </c>
      <c r="C13" s="303">
        <f>'Entrada de Dados'!J227</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Dados'!K201</f>
        <v/>
      </c>
      <c r="C14" s="303">
        <f>'Entrada de Dados'!K227</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Dados'!L201</f>
        <v/>
      </c>
      <c r="C15" s="303">
        <f>'Entrada de Dados'!L227</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Dados'!M201</f>
        <v/>
      </c>
      <c r="C16" s="303">
        <f>'Entrada de Dados'!M227</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Dados'!N201</f>
        <v/>
      </c>
      <c r="C17" s="303">
        <f>'Entrada de Dados'!N227</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Dados'!O201</f>
        <v/>
      </c>
      <c r="C18" s="303">
        <f>'Entrada de Dados'!O227</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Dados'!P201</f>
        <v/>
      </c>
      <c r="C19" s="303">
        <f>'Entrada de Dados'!P227</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Dados'!Q201</f>
        <v/>
      </c>
      <c r="C20" s="303">
        <f>'Entrada de Dados'!Q227</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Dados'!R201</f>
        <v/>
      </c>
      <c r="C21" s="303">
        <f>'Entrada de Dados'!R227</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Dados'!S201</f>
        <v/>
      </c>
      <c r="C22" s="303">
        <f>'Entrada de Dados'!S227</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Dados'!T201</f>
        <v/>
      </c>
      <c r="C23" s="303">
        <f>'Entrada de Dados'!T227</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Dados'!U201</f>
        <v/>
      </c>
      <c r="C24" s="303">
        <f>'Entrada de Dados'!U227</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2.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6" activeCellId="0" sqref="B6"/>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Anderson de Mello Quimas</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Dados'!C202</f>
        <v/>
      </c>
      <c r="C6" s="303">
        <f>'Entrada de Dados'!C228</f>
        <v/>
      </c>
      <c r="D6" s="304" t="n"/>
      <c r="E6" s="415">
        <f>C6-D6</f>
        <v/>
      </c>
      <c r="F6" s="303">
        <f>'Entrada de Dados'!C2-3.67</f>
        <v/>
      </c>
      <c r="G6" s="303">
        <f>E6*F6</f>
        <v/>
      </c>
      <c r="H6" s="305" t="n"/>
      <c r="I6" s="353">
        <f>IF(H6="","",LOOKUP(H6,MOTIVO!$A$4:$A$23,MOTIVO!$B$4:$B$23))</f>
        <v/>
      </c>
    </row>
    <row r="7" ht="24" customHeight="1" s="163">
      <c r="A7" s="307" t="inlineStr">
        <is>
          <t>Abobrinha</t>
        </is>
      </c>
      <c r="B7" s="303">
        <f>'Entrada de Dados'!D202</f>
        <v/>
      </c>
      <c r="C7" s="303">
        <f>'Entrada de Dados'!D228</f>
        <v/>
      </c>
      <c r="D7" s="304" t="n"/>
      <c r="E7" s="415">
        <f>C7-D7</f>
        <v/>
      </c>
      <c r="F7" s="303">
        <f>'Entrada de Dados'!D2-3.67</f>
        <v/>
      </c>
      <c r="G7" s="303">
        <f>E7*F7</f>
        <v/>
      </c>
      <c r="H7" s="305" t="n"/>
      <c r="I7" s="353">
        <f>IF(H7="","",LOOKUP(H7,MOTIVO!$A$4:$A$23,MOTIVO!$B$4:$B$23))</f>
        <v/>
      </c>
    </row>
    <row r="8" ht="24" customHeight="1" s="163">
      <c r="A8" s="302" t="inlineStr">
        <is>
          <t>Agrião</t>
        </is>
      </c>
      <c r="B8" s="303">
        <f>'Entrada de Dados'!E202</f>
        <v/>
      </c>
      <c r="C8" s="303">
        <f>'Entrada de Dados'!E228</f>
        <v/>
      </c>
      <c r="D8" s="304" t="n"/>
      <c r="E8" s="415">
        <f>C8-D8</f>
        <v/>
      </c>
      <c r="F8" s="303">
        <f>'Entrada de Dados'!E2-3.67</f>
        <v/>
      </c>
      <c r="G8" s="303">
        <f>E8*F8</f>
        <v/>
      </c>
      <c r="H8" s="305" t="n"/>
      <c r="I8" s="353">
        <f>IF(H8="","",LOOKUP(H8,MOTIVO!$A$4:$A$23,MOTIVO!$B$4:$B$23))</f>
        <v/>
      </c>
    </row>
    <row r="9" ht="24" customHeight="1" s="163">
      <c r="A9" s="307" t="inlineStr">
        <is>
          <t>Alface lisa</t>
        </is>
      </c>
      <c r="B9" s="303">
        <f>'Entrada de Dados'!F202</f>
        <v/>
      </c>
      <c r="C9" s="303">
        <f>'Entrada de Dados'!F228</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Dados'!G202</f>
        <v/>
      </c>
      <c r="C10" s="303">
        <f>'Entrada de Dados'!G228</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Dados'!H202</f>
        <v/>
      </c>
      <c r="C11" s="303">
        <f>'Entrada de Dados'!H228</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Dados'!I202</f>
        <v/>
      </c>
      <c r="C12" s="303">
        <f>'Entrada de Dados'!I228</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Dados'!J202</f>
        <v/>
      </c>
      <c r="C13" s="303">
        <f>'Entrada de Dados'!J228</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Dados'!K202</f>
        <v/>
      </c>
      <c r="C14" s="303">
        <f>'Entrada de Dados'!K228</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Dados'!L202</f>
        <v/>
      </c>
      <c r="C15" s="303">
        <f>'Entrada de Dados'!L228</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Dados'!M202</f>
        <v/>
      </c>
      <c r="C16" s="303">
        <f>'Entrada de Dados'!M228</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Dados'!N202</f>
        <v/>
      </c>
      <c r="C17" s="303">
        <f>'Entrada de Dados'!N228</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Dados'!O202</f>
        <v/>
      </c>
      <c r="C18" s="303">
        <f>'Entrada de Dados'!O228</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Dados'!P202</f>
        <v/>
      </c>
      <c r="C19" s="303">
        <f>'Entrada de Dados'!P228</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Dados'!Q202</f>
        <v/>
      </c>
      <c r="C20" s="303">
        <f>'Entrada de Dados'!Q228</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Dados'!R202</f>
        <v/>
      </c>
      <c r="C21" s="303">
        <f>'Entrada de Dados'!R228</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Dados'!S202</f>
        <v/>
      </c>
      <c r="C22" s="303">
        <f>'Entrada de Dados'!S228</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Dados'!T202</f>
        <v/>
      </c>
      <c r="C23" s="303">
        <f>'Entrada de Dados'!T228</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Dados'!U202</f>
        <v/>
      </c>
      <c r="C24" s="303">
        <f>'Entrada de Dados'!U228</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3.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Armando Jose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Dados'!C203</f>
        <v/>
      </c>
      <c r="C6" s="303">
        <f>'Entrada de Dados'!C229</f>
        <v/>
      </c>
      <c r="D6" s="304" t="n"/>
      <c r="E6" s="415">
        <f>C6-D6</f>
        <v/>
      </c>
      <c r="F6" s="303">
        <f>'Entrada de Dados'!C2-3.67</f>
        <v/>
      </c>
      <c r="G6" s="303">
        <f>E6*F6</f>
        <v/>
      </c>
      <c r="H6" s="305" t="n"/>
      <c r="I6" s="353">
        <f>IF(H6="","",LOOKUP(H6,MOTIVO!$A$4:$A$23,MOTIVO!$B$4:$B$23))</f>
        <v/>
      </c>
    </row>
    <row r="7" ht="24" customHeight="1" s="163">
      <c r="A7" s="307" t="inlineStr">
        <is>
          <t>Abobrinha</t>
        </is>
      </c>
      <c r="B7" s="303">
        <f>'Entrada de Dados'!D203</f>
        <v/>
      </c>
      <c r="C7" s="303">
        <f>'Entrada de Dados'!D229</f>
        <v/>
      </c>
      <c r="D7" s="304" t="n"/>
      <c r="E7" s="415">
        <f>C7-D7</f>
        <v/>
      </c>
      <c r="F7" s="303">
        <f>'Entrada de Dados'!D2-3.67</f>
        <v/>
      </c>
      <c r="G7" s="303">
        <f>E7*F7</f>
        <v/>
      </c>
      <c r="H7" s="305" t="n"/>
      <c r="I7" s="353">
        <f>IF(H7="","",LOOKUP(H7,MOTIVO!$A$4:$A$23,MOTIVO!$B$4:$B$23))</f>
        <v/>
      </c>
    </row>
    <row r="8" ht="24" customHeight="1" s="163">
      <c r="A8" s="302" t="inlineStr">
        <is>
          <t>Agrião</t>
        </is>
      </c>
      <c r="B8" s="303">
        <f>'Entrada de Dados'!E203</f>
        <v/>
      </c>
      <c r="C8" s="303">
        <f>'Entrada de Dados'!E229</f>
        <v/>
      </c>
      <c r="D8" s="304" t="n"/>
      <c r="E8" s="415">
        <f>C8-D8</f>
        <v/>
      </c>
      <c r="F8" s="303">
        <f>'Entrada de Dados'!E2-3.67</f>
        <v/>
      </c>
      <c r="G8" s="303">
        <f>E8*F8</f>
        <v/>
      </c>
      <c r="H8" s="305" t="n"/>
      <c r="I8" s="353">
        <f>IF(H8="","",LOOKUP(H8,MOTIVO!$A$4:$A$23,MOTIVO!$B$4:$B$23))</f>
        <v/>
      </c>
    </row>
    <row r="9" ht="24" customHeight="1" s="163">
      <c r="A9" s="307" t="inlineStr">
        <is>
          <t>Alface lisa</t>
        </is>
      </c>
      <c r="B9" s="303">
        <f>'Entrada de Dados'!F203</f>
        <v/>
      </c>
      <c r="C9" s="303">
        <f>'Entrada de Dados'!F229</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Dados'!G203</f>
        <v/>
      </c>
      <c r="C10" s="303">
        <f>'Entrada de Dados'!G229</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Dados'!H203</f>
        <v/>
      </c>
      <c r="C11" s="303">
        <f>'Entrada de Dados'!H229</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Dados'!I203</f>
        <v/>
      </c>
      <c r="C12" s="303">
        <f>'Entrada de Dados'!I229</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Dados'!J203</f>
        <v/>
      </c>
      <c r="C13" s="303">
        <f>'Entrada de Dados'!J229</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Dados'!K203</f>
        <v/>
      </c>
      <c r="C14" s="303">
        <f>'Entrada de Dados'!K229</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Dados'!L203</f>
        <v/>
      </c>
      <c r="C15" s="303">
        <f>'Entrada de Dados'!L229</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Dados'!M203</f>
        <v/>
      </c>
      <c r="C16" s="303">
        <f>'Entrada de Dados'!M229</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Dados'!N203</f>
        <v/>
      </c>
      <c r="C17" s="303">
        <f>'Entrada de Dados'!N229</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Dados'!O203</f>
        <v/>
      </c>
      <c r="C18" s="303">
        <f>'Entrada de Dados'!O229</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Dados'!P203</f>
        <v/>
      </c>
      <c r="C19" s="303">
        <f>'Entrada de Dados'!P229</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Dados'!Q203</f>
        <v/>
      </c>
      <c r="C20" s="303">
        <f>'Entrada de Dados'!Q229</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Dados'!R203</f>
        <v/>
      </c>
      <c r="C21" s="303">
        <f>'Entrada de Dados'!R229</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Dados'!S203</f>
        <v/>
      </c>
      <c r="C22" s="303">
        <f>'Entrada de Dados'!S229</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Dados'!T203</f>
        <v/>
      </c>
      <c r="C23" s="303">
        <f>'Entrada de Dados'!T229</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Dados'!U203</f>
        <v/>
      </c>
      <c r="C24" s="303">
        <f>'Entrada de Dados'!U229</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4.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Arnaldo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Dados'!C204</f>
        <v/>
      </c>
      <c r="C6" s="303">
        <f>'Entrada de Dados'!C230</f>
        <v/>
      </c>
      <c r="D6" s="304" t="n"/>
      <c r="E6" s="415">
        <f>C6-D6</f>
        <v/>
      </c>
      <c r="F6" s="303">
        <f>'Entrada de Dados'!C2-3.67</f>
        <v/>
      </c>
      <c r="G6" s="303">
        <f>E6*F6</f>
        <v/>
      </c>
      <c r="H6" s="305" t="n"/>
      <c r="I6" s="353">
        <f>IF(H6="","",LOOKUP(H6,MOTIVO!$A$4:$A$23,MOTIVO!$B$4:$B$23))</f>
        <v/>
      </c>
    </row>
    <row r="7" ht="24" customHeight="1" s="163">
      <c r="A7" s="307" t="inlineStr">
        <is>
          <t>Abobrinha</t>
        </is>
      </c>
      <c r="B7" s="303">
        <f>'Entrada de Dados'!D204</f>
        <v/>
      </c>
      <c r="C7" s="303">
        <f>'Entrada de Dados'!D230</f>
        <v/>
      </c>
      <c r="D7" s="304" t="n"/>
      <c r="E7" s="415">
        <f>C7-D7</f>
        <v/>
      </c>
      <c r="F7" s="303">
        <f>'Entrada de Dados'!D2-3.67</f>
        <v/>
      </c>
      <c r="G7" s="303">
        <f>E7*F7</f>
        <v/>
      </c>
      <c r="H7" s="305" t="n"/>
      <c r="I7" s="353">
        <f>IF(H7="","",LOOKUP(H7,MOTIVO!$A$4:$A$23,MOTIVO!$B$4:$B$23))</f>
        <v/>
      </c>
    </row>
    <row r="8" ht="24" customHeight="1" s="163">
      <c r="A8" s="302" t="inlineStr">
        <is>
          <t>Agrião</t>
        </is>
      </c>
      <c r="B8" s="303">
        <f>'Entrada de Dados'!E204</f>
        <v/>
      </c>
      <c r="C8" s="303">
        <f>'Entrada de Dados'!E230</f>
        <v/>
      </c>
      <c r="D8" s="304" t="n"/>
      <c r="E8" s="415">
        <f>C8-D8</f>
        <v/>
      </c>
      <c r="F8" s="303">
        <f>'Entrada de Dados'!E2-3.67</f>
        <v/>
      </c>
      <c r="G8" s="303">
        <f>E8*F8</f>
        <v/>
      </c>
      <c r="H8" s="305" t="n"/>
      <c r="I8" s="353">
        <f>IF(H8="","",LOOKUP(H8,MOTIVO!$A$4:$A$23,MOTIVO!$B$4:$B$23))</f>
        <v/>
      </c>
    </row>
    <row r="9" ht="24" customHeight="1" s="163">
      <c r="A9" s="307" t="inlineStr">
        <is>
          <t>Alface lisa</t>
        </is>
      </c>
      <c r="B9" s="303">
        <f>'Entrada de Dados'!F204</f>
        <v/>
      </c>
      <c r="C9" s="303">
        <f>'Entrada de Dados'!F230</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Dados'!G204</f>
        <v/>
      </c>
      <c r="C10" s="303">
        <f>'Entrada de Dados'!G230</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Dados'!H204</f>
        <v/>
      </c>
      <c r="C11" s="303">
        <f>'Entrada de Dados'!H230</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Dados'!I204</f>
        <v/>
      </c>
      <c r="C12" s="303">
        <f>'Entrada de Dados'!I230</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Dados'!J204</f>
        <v/>
      </c>
      <c r="C13" s="303">
        <f>'Entrada de Dados'!J230</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Dados'!K204</f>
        <v/>
      </c>
      <c r="C14" s="303">
        <f>'Entrada de Dados'!K230</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Dados'!L204</f>
        <v/>
      </c>
      <c r="C15" s="303">
        <f>'Entrada de Dados'!L230</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Dados'!M204</f>
        <v/>
      </c>
      <c r="C16" s="303">
        <f>'Entrada de Dados'!M230</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Dados'!N204</f>
        <v/>
      </c>
      <c r="C17" s="303">
        <f>'Entrada de Dados'!N230</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Dados'!O204</f>
        <v/>
      </c>
      <c r="C18" s="303">
        <f>'Entrada de Dados'!O230</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Dados'!P204</f>
        <v/>
      </c>
      <c r="C19" s="303">
        <f>'Entrada de Dados'!P230</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Dados'!Q204</f>
        <v/>
      </c>
      <c r="C20" s="303">
        <f>'Entrada de Dados'!Q230</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Dados'!R204</f>
        <v/>
      </c>
      <c r="C21" s="303">
        <f>'Entrada de Dados'!R230</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Dados'!S204</f>
        <v/>
      </c>
      <c r="C22" s="303">
        <f>'Entrada de Dados'!S230</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Dados'!T204</f>
        <v/>
      </c>
      <c r="C23" s="303">
        <f>'Entrada de Dados'!T230</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Dados'!U204</f>
        <v/>
      </c>
      <c r="C24" s="303">
        <f>'Entrada de Dados'!U230</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5.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Claudeni Rodrigues Xavier</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Dados'!C205</f>
        <v/>
      </c>
      <c r="C6" s="303">
        <f>'Entrada de Dados'!C231</f>
        <v/>
      </c>
      <c r="D6" s="304" t="n"/>
      <c r="E6" s="415">
        <f>C6-D6</f>
        <v/>
      </c>
      <c r="F6" s="303">
        <f>'Entrada de Dados'!C2-3.67</f>
        <v/>
      </c>
      <c r="G6" s="303">
        <f>E6*F6</f>
        <v/>
      </c>
      <c r="H6" s="305" t="n"/>
      <c r="I6" s="353">
        <f>IF(H6="","",LOOKUP(H6,MOTIVO!$A$4:$A$23,MOTIVO!$B$4:$B$23))</f>
        <v/>
      </c>
    </row>
    <row r="7" ht="24" customHeight="1" s="163">
      <c r="A7" s="307" t="inlineStr">
        <is>
          <t>Abobrinha</t>
        </is>
      </c>
      <c r="B7" s="303">
        <f>'Entrada de Dados'!D205</f>
        <v/>
      </c>
      <c r="C7" s="303">
        <f>'Entrada de Dados'!D231</f>
        <v/>
      </c>
      <c r="D7" s="304" t="n"/>
      <c r="E7" s="415">
        <f>C7-D7</f>
        <v/>
      </c>
      <c r="F7" s="303">
        <f>'Entrada de Dados'!D2-3.67</f>
        <v/>
      </c>
      <c r="G7" s="303">
        <f>E7*F7</f>
        <v/>
      </c>
      <c r="H7" s="305" t="n"/>
      <c r="I7" s="353">
        <f>IF(H7="","",LOOKUP(H7,MOTIVO!$A$4:$A$23,MOTIVO!$B$4:$B$23))</f>
        <v/>
      </c>
    </row>
    <row r="8" ht="24" customHeight="1" s="163">
      <c r="A8" s="302" t="inlineStr">
        <is>
          <t>Agrião</t>
        </is>
      </c>
      <c r="B8" s="303">
        <f>'Entrada de Dados'!E205</f>
        <v/>
      </c>
      <c r="C8" s="303">
        <f>'Entrada de Dados'!E231</f>
        <v/>
      </c>
      <c r="D8" s="304" t="n"/>
      <c r="E8" s="415">
        <f>C8-D8</f>
        <v/>
      </c>
      <c r="F8" s="303">
        <f>'Entrada de Dados'!E2-3.67</f>
        <v/>
      </c>
      <c r="G8" s="303">
        <f>E8*F8</f>
        <v/>
      </c>
      <c r="H8" s="305" t="n"/>
      <c r="I8" s="353">
        <f>IF(H8="","",LOOKUP(H8,MOTIVO!$A$4:$A$23,MOTIVO!$B$4:$B$23))</f>
        <v/>
      </c>
    </row>
    <row r="9" ht="24" customHeight="1" s="163">
      <c r="A9" s="307" t="inlineStr">
        <is>
          <t>Alface lisa</t>
        </is>
      </c>
      <c r="B9" s="303">
        <f>'Entrada de Dados'!F205</f>
        <v/>
      </c>
      <c r="C9" s="303">
        <f>'Entrada de Dados'!F231</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Dados'!G205</f>
        <v/>
      </c>
      <c r="C10" s="303">
        <f>'Entrada de Dados'!G231</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Dados'!H205</f>
        <v/>
      </c>
      <c r="C11" s="303">
        <f>'Entrada de Dados'!H231</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Dados'!I205</f>
        <v/>
      </c>
      <c r="C12" s="303">
        <f>'Entrada de Dados'!I231</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Dados'!J205</f>
        <v/>
      </c>
      <c r="C13" s="303">
        <f>'Entrada de Dados'!J231</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Dados'!K205</f>
        <v/>
      </c>
      <c r="C14" s="303">
        <f>'Entrada de Dados'!K231</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Dados'!L205</f>
        <v/>
      </c>
      <c r="C15" s="303">
        <f>'Entrada de Dados'!L231</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Dados'!M205</f>
        <v/>
      </c>
      <c r="C16" s="303">
        <f>'Entrada de Dados'!M231</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Dados'!N205</f>
        <v/>
      </c>
      <c r="C17" s="303">
        <f>'Entrada de Dados'!N231</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Dados'!O205</f>
        <v/>
      </c>
      <c r="C18" s="303">
        <f>'Entrada de Dados'!O231</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Dados'!P205</f>
        <v/>
      </c>
      <c r="C19" s="303">
        <f>'Entrada de Dados'!P231</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Dados'!Q205</f>
        <v/>
      </c>
      <c r="C20" s="303">
        <f>'Entrada de Dados'!Q231</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Dados'!R205</f>
        <v/>
      </c>
      <c r="C21" s="303">
        <f>'Entrada de Dados'!R231</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Dados'!S205</f>
        <v/>
      </c>
      <c r="C22" s="303">
        <f>'Entrada de Dados'!S231</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Dados'!T205</f>
        <v/>
      </c>
      <c r="C23" s="303">
        <f>'Entrada de Dados'!T231</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Dados'!U205</f>
        <v/>
      </c>
      <c r="C24" s="303">
        <f>'Entrada de Dados'!U231</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6.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Edson Jose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Dados'!C206</f>
        <v/>
      </c>
      <c r="C6" s="303">
        <f>'Entrada de Dados'!C232</f>
        <v/>
      </c>
      <c r="D6" s="304" t="n"/>
      <c r="E6" s="415">
        <f>C6-D6</f>
        <v/>
      </c>
      <c r="F6" s="303">
        <f>'Entrada de Dados'!C2-3.67</f>
        <v/>
      </c>
      <c r="G6" s="303">
        <f>E6*F6</f>
        <v/>
      </c>
      <c r="H6" s="305" t="n"/>
      <c r="I6" s="353">
        <f>IF(H6="","",LOOKUP(H6,MOTIVO!$A$4:$A$23,MOTIVO!$B$4:$B$23))</f>
        <v/>
      </c>
    </row>
    <row r="7" ht="24" customHeight="1" s="163">
      <c r="A7" s="307" t="inlineStr">
        <is>
          <t>Abobrinha</t>
        </is>
      </c>
      <c r="B7" s="303">
        <f>'Entrada de Dados'!D206</f>
        <v/>
      </c>
      <c r="C7" s="303">
        <f>'Entrada de Dados'!D232</f>
        <v/>
      </c>
      <c r="D7" s="304" t="n"/>
      <c r="E7" s="415">
        <f>C7-D7</f>
        <v/>
      </c>
      <c r="F7" s="303">
        <f>'Entrada de Dados'!D2-3.67</f>
        <v/>
      </c>
      <c r="G7" s="303">
        <f>E7*F7</f>
        <v/>
      </c>
      <c r="H7" s="305" t="n"/>
      <c r="I7" s="353">
        <f>IF(H7="","",LOOKUP(H7,MOTIVO!$A$4:$A$23,MOTIVO!$B$4:$B$23))</f>
        <v/>
      </c>
    </row>
    <row r="8" ht="24" customHeight="1" s="163">
      <c r="A8" s="302" t="inlineStr">
        <is>
          <t>Agrião</t>
        </is>
      </c>
      <c r="B8" s="303">
        <f>'Entrada de Dados'!E206</f>
        <v/>
      </c>
      <c r="C8" s="303">
        <f>'Entrada de Dados'!E232</f>
        <v/>
      </c>
      <c r="D8" s="304" t="n"/>
      <c r="E8" s="415">
        <f>C8-D8</f>
        <v/>
      </c>
      <c r="F8" s="303">
        <f>'Entrada de Dados'!E2-3.67</f>
        <v/>
      </c>
      <c r="G8" s="303">
        <f>E8*F8</f>
        <v/>
      </c>
      <c r="H8" s="305" t="n"/>
      <c r="I8" s="353">
        <f>IF(H8="","",LOOKUP(H8,MOTIVO!$A$4:$A$23,MOTIVO!$B$4:$B$23))</f>
        <v/>
      </c>
    </row>
    <row r="9" ht="24" customHeight="1" s="163">
      <c r="A9" s="307" t="inlineStr">
        <is>
          <t>Alface lisa</t>
        </is>
      </c>
      <c r="B9" s="303">
        <f>'Entrada de Dados'!F206</f>
        <v/>
      </c>
      <c r="C9" s="303">
        <f>'Entrada de Dados'!F232</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Dados'!G206</f>
        <v/>
      </c>
      <c r="C10" s="303">
        <f>'Entrada de Dados'!G232</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Dados'!H206</f>
        <v/>
      </c>
      <c r="C11" s="303">
        <f>'Entrada de Dados'!H232</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Dados'!I206</f>
        <v/>
      </c>
      <c r="C12" s="303">
        <f>'Entrada de Dados'!I232</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Dados'!J206</f>
        <v/>
      </c>
      <c r="C13" s="303">
        <f>'Entrada de Dados'!J232</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Dados'!K206</f>
        <v/>
      </c>
      <c r="C14" s="303">
        <f>'Entrada de Dados'!K232</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Dados'!L206</f>
        <v/>
      </c>
      <c r="C15" s="303">
        <f>'Entrada de Dados'!L232</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Dados'!M206</f>
        <v/>
      </c>
      <c r="C16" s="303">
        <f>'Entrada de Dados'!M232</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Dados'!N206</f>
        <v/>
      </c>
      <c r="C17" s="303">
        <f>'Entrada de Dados'!N232</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Dados'!O206</f>
        <v/>
      </c>
      <c r="C18" s="303">
        <f>'Entrada de Dados'!O232</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Dados'!P206</f>
        <v/>
      </c>
      <c r="C19" s="303">
        <f>'Entrada de Dados'!P232</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Dados'!Q206</f>
        <v/>
      </c>
      <c r="C20" s="303">
        <f>'Entrada de Dados'!Q232</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Dados'!R206</f>
        <v/>
      </c>
      <c r="C21" s="303">
        <f>'Entrada de Dados'!R232</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Dados'!S206</f>
        <v/>
      </c>
      <c r="C22" s="303">
        <f>'Entrada de Dados'!S232</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Dados'!T206</f>
        <v/>
      </c>
      <c r="C23" s="303">
        <f>'Entrada de Dados'!T232</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Dados'!U206</f>
        <v/>
      </c>
      <c r="C24" s="303">
        <f>'Entrada de Dados'!U232</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7.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Gabriel Adriano de Souza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Dados'!C207</f>
        <v/>
      </c>
      <c r="C6" s="303">
        <f>'Entrada de Dados'!C233</f>
        <v/>
      </c>
      <c r="D6" s="304" t="n"/>
      <c r="E6" s="415">
        <f>C6-D6</f>
        <v/>
      </c>
      <c r="F6" s="303">
        <f>'Entrada de Dados'!C2-3.67</f>
        <v/>
      </c>
      <c r="G6" s="303">
        <f>E6*F6</f>
        <v/>
      </c>
      <c r="H6" s="305" t="n"/>
      <c r="I6" s="353">
        <f>IF(H6="","",LOOKUP(H6,MOTIVO!$A$4:$A$23,MOTIVO!$B$4:$B$23))</f>
        <v/>
      </c>
    </row>
    <row r="7" ht="24" customHeight="1" s="163">
      <c r="A7" s="307" t="inlineStr">
        <is>
          <t>Abobrinha</t>
        </is>
      </c>
      <c r="B7" s="303">
        <f>'Entrada de Dados'!D207</f>
        <v/>
      </c>
      <c r="C7" s="303">
        <f>'Entrada de Dados'!D233</f>
        <v/>
      </c>
      <c r="D7" s="304" t="n"/>
      <c r="E7" s="415">
        <f>C7-D7</f>
        <v/>
      </c>
      <c r="F7" s="303">
        <f>'Entrada de Dados'!D2-3.67</f>
        <v/>
      </c>
      <c r="G7" s="303">
        <f>E7*F7</f>
        <v/>
      </c>
      <c r="H7" s="305" t="n"/>
      <c r="I7" s="353">
        <f>IF(H7="","",LOOKUP(H7,MOTIVO!$A$4:$A$23,MOTIVO!$B$4:$B$23))</f>
        <v/>
      </c>
    </row>
    <row r="8" ht="24" customHeight="1" s="163">
      <c r="A8" s="302" t="inlineStr">
        <is>
          <t>Agrião</t>
        </is>
      </c>
      <c r="B8" s="303">
        <f>'Entrada de Dados'!E207</f>
        <v/>
      </c>
      <c r="C8" s="303">
        <f>'Entrada de Dados'!E233</f>
        <v/>
      </c>
      <c r="D8" s="304" t="n"/>
      <c r="E8" s="415">
        <f>C8-D8</f>
        <v/>
      </c>
      <c r="F8" s="303">
        <f>'Entrada de Dados'!E2-3.67</f>
        <v/>
      </c>
      <c r="G8" s="303">
        <f>E8*F8</f>
        <v/>
      </c>
      <c r="H8" s="305" t="n"/>
      <c r="I8" s="353">
        <f>IF(H8="","",LOOKUP(H8,MOTIVO!$A$4:$A$23,MOTIVO!$B$4:$B$23))</f>
        <v/>
      </c>
    </row>
    <row r="9" ht="24" customHeight="1" s="163">
      <c r="A9" s="307" t="inlineStr">
        <is>
          <t>Alface lisa</t>
        </is>
      </c>
      <c r="B9" s="303">
        <f>'Entrada de Dados'!F207</f>
        <v/>
      </c>
      <c r="C9" s="303">
        <f>'Entrada de Dados'!F233</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Dados'!G207</f>
        <v/>
      </c>
      <c r="C10" s="303">
        <f>'Entrada de Dados'!G233</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Dados'!H207</f>
        <v/>
      </c>
      <c r="C11" s="303">
        <f>'Entrada de Dados'!H233</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Dados'!I207</f>
        <v/>
      </c>
      <c r="C12" s="303">
        <f>'Entrada de Dados'!I233</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Dados'!J207</f>
        <v/>
      </c>
      <c r="C13" s="303">
        <f>'Entrada de Dados'!J233</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Dados'!K207</f>
        <v/>
      </c>
      <c r="C14" s="303">
        <f>'Entrada de Dados'!K233</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Dados'!L207</f>
        <v/>
      </c>
      <c r="C15" s="303">
        <f>'Entrada de Dados'!L233</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Dados'!M207</f>
        <v/>
      </c>
      <c r="C16" s="303">
        <f>'Entrada de Dados'!M233</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Dados'!N207</f>
        <v/>
      </c>
      <c r="C17" s="303">
        <f>'Entrada de Dados'!N233</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Dados'!O207</f>
        <v/>
      </c>
      <c r="C18" s="303">
        <f>'Entrada de Dados'!O233</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Dados'!P207</f>
        <v/>
      </c>
      <c r="C19" s="303">
        <f>'Entrada de Dados'!P233</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Dados'!Q207</f>
        <v/>
      </c>
      <c r="C20" s="303">
        <f>'Entrada de Dados'!Q233</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Dados'!R207</f>
        <v/>
      </c>
      <c r="C21" s="303">
        <f>'Entrada de Dados'!R233</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Dados'!S207</f>
        <v/>
      </c>
      <c r="C22" s="303">
        <f>'Entrada de Dados'!S233</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Dados'!T207</f>
        <v/>
      </c>
      <c r="C23" s="303">
        <f>'Entrada de Dados'!T233</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Dados'!U207</f>
        <v/>
      </c>
      <c r="C24" s="303">
        <f>'Entrada de Dados'!U233</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8.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Gustavo de Mello Rodrigues</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Dados'!C208</f>
        <v/>
      </c>
      <c r="C6" s="303">
        <f>'Entrada de Dados'!C234</f>
        <v/>
      </c>
      <c r="D6" s="304" t="n"/>
      <c r="E6" s="415">
        <f>C6-D6</f>
        <v/>
      </c>
      <c r="F6" s="303">
        <f>'Entrada de Dados'!C2-3.67</f>
        <v/>
      </c>
      <c r="G6" s="303">
        <f>E6*F6</f>
        <v/>
      </c>
      <c r="H6" s="305" t="n"/>
      <c r="I6" s="353">
        <f>IF(H6="","",LOOKUP(H6,MOTIVO!$A$4:$A$23,MOTIVO!$B$4:$B$23))</f>
        <v/>
      </c>
    </row>
    <row r="7" ht="24" customHeight="1" s="163">
      <c r="A7" s="307" t="inlineStr">
        <is>
          <t>Abobrinha</t>
        </is>
      </c>
      <c r="B7" s="303">
        <f>'Entrada de Dados'!D208</f>
        <v/>
      </c>
      <c r="C7" s="303">
        <f>'Entrada de Dados'!D234</f>
        <v/>
      </c>
      <c r="D7" s="304" t="n"/>
      <c r="E7" s="415">
        <f>C7-D7</f>
        <v/>
      </c>
      <c r="F7" s="303">
        <f>'Entrada de Dados'!D2-3.67</f>
        <v/>
      </c>
      <c r="G7" s="303">
        <f>E7*F7</f>
        <v/>
      </c>
      <c r="H7" s="305" t="n"/>
      <c r="I7" s="353">
        <f>IF(H7="","",LOOKUP(H7,MOTIVO!$A$4:$A$23,MOTIVO!$B$4:$B$23))</f>
        <v/>
      </c>
    </row>
    <row r="8" ht="24" customHeight="1" s="163">
      <c r="A8" s="302" t="inlineStr">
        <is>
          <t>Agrião</t>
        </is>
      </c>
      <c r="B8" s="303">
        <f>'Entrada de Dados'!E208</f>
        <v/>
      </c>
      <c r="C8" s="303">
        <f>'Entrada de Dados'!E234</f>
        <v/>
      </c>
      <c r="D8" s="304" t="n"/>
      <c r="E8" s="415">
        <f>C8-D8</f>
        <v/>
      </c>
      <c r="F8" s="303">
        <f>'Entrada de Dados'!E2-3.67</f>
        <v/>
      </c>
      <c r="G8" s="303">
        <f>E8*F8</f>
        <v/>
      </c>
      <c r="H8" s="305" t="n"/>
      <c r="I8" s="353">
        <f>IF(H8="","",LOOKUP(H8,MOTIVO!$A$4:$A$23,MOTIVO!$B$4:$B$23))</f>
        <v/>
      </c>
    </row>
    <row r="9" ht="24" customHeight="1" s="163">
      <c r="A9" s="307" t="inlineStr">
        <is>
          <t>Alface lisa</t>
        </is>
      </c>
      <c r="B9" s="303">
        <f>'Entrada de Dados'!F208</f>
        <v/>
      </c>
      <c r="C9" s="303">
        <f>'Entrada de Dados'!F234</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Dados'!G208</f>
        <v/>
      </c>
      <c r="C10" s="303">
        <f>'Entrada de Dados'!G234</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Dados'!H208</f>
        <v/>
      </c>
      <c r="C11" s="303">
        <f>'Entrada de Dados'!H234</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Dados'!I208</f>
        <v/>
      </c>
      <c r="C12" s="303">
        <f>'Entrada de Dados'!I234</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Dados'!J208</f>
        <v/>
      </c>
      <c r="C13" s="303">
        <f>'Entrada de Dados'!J234</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Dados'!K208</f>
        <v/>
      </c>
      <c r="C14" s="303">
        <f>'Entrada de Dados'!K234</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Dados'!L208</f>
        <v/>
      </c>
      <c r="C15" s="303">
        <f>'Entrada de Dados'!L234</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Dados'!M208</f>
        <v/>
      </c>
      <c r="C16" s="303">
        <f>'Entrada de Dados'!M234</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Dados'!N208</f>
        <v/>
      </c>
      <c r="C17" s="303">
        <f>'Entrada de Dados'!N234</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Dados'!O208</f>
        <v/>
      </c>
      <c r="C18" s="303">
        <f>'Entrada de Dados'!O234</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Dados'!P208</f>
        <v/>
      </c>
      <c r="C19" s="303">
        <f>'Entrada de Dados'!P234</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Dados'!Q208</f>
        <v/>
      </c>
      <c r="C20" s="303">
        <f>'Entrada de Dados'!Q234</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Dados'!R208</f>
        <v/>
      </c>
      <c r="C21" s="303">
        <f>'Entrada de Dados'!R234</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Dados'!S208</f>
        <v/>
      </c>
      <c r="C22" s="303">
        <f>'Entrada de Dados'!S234</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Dados'!T208</f>
        <v/>
      </c>
      <c r="C23" s="303">
        <f>'Entrada de Dados'!T234</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Dados'!U208</f>
        <v/>
      </c>
      <c r="C24" s="303">
        <f>'Entrada de Dados'!U234</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09.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Joaquim Sergio Lage</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Dados'!C209</f>
        <v/>
      </c>
      <c r="C6" s="303">
        <f>'Entrada de Dados'!C235</f>
        <v/>
      </c>
      <c r="D6" s="304" t="n"/>
      <c r="E6" s="415">
        <f>C6-D6</f>
        <v/>
      </c>
      <c r="F6" s="303">
        <f>'Entrada de Dados'!C2-3.67</f>
        <v/>
      </c>
      <c r="G6" s="303">
        <f>E6*F6</f>
        <v/>
      </c>
      <c r="H6" s="305" t="n"/>
      <c r="I6" s="353">
        <f>IF(H6="","",LOOKUP(H6,MOTIVO!$A$4:$A$23,MOTIVO!$B$4:$B$23))</f>
        <v/>
      </c>
    </row>
    <row r="7" ht="24" customHeight="1" s="163">
      <c r="A7" s="307" t="inlineStr">
        <is>
          <t>Abobrinha</t>
        </is>
      </c>
      <c r="B7" s="303">
        <f>'Entrada de Dados'!D209</f>
        <v/>
      </c>
      <c r="C7" s="303">
        <f>'Entrada de Dados'!D235</f>
        <v/>
      </c>
      <c r="D7" s="304" t="n"/>
      <c r="E7" s="415">
        <f>C7-D7</f>
        <v/>
      </c>
      <c r="F7" s="303">
        <f>'Entrada de Dados'!D2-3.67</f>
        <v/>
      </c>
      <c r="G7" s="303">
        <f>E7*F7</f>
        <v/>
      </c>
      <c r="H7" s="305" t="n"/>
      <c r="I7" s="353">
        <f>IF(H7="","",LOOKUP(H7,MOTIVO!$A$4:$A$23,MOTIVO!$B$4:$B$23))</f>
        <v/>
      </c>
    </row>
    <row r="8" ht="24" customHeight="1" s="163">
      <c r="A8" s="302" t="inlineStr">
        <is>
          <t>Agrião</t>
        </is>
      </c>
      <c r="B8" s="303">
        <f>'Entrada de Dados'!E209</f>
        <v/>
      </c>
      <c r="C8" s="303">
        <f>'Entrada de Dados'!E235</f>
        <v/>
      </c>
      <c r="D8" s="304" t="n"/>
      <c r="E8" s="415">
        <f>C8-D8</f>
        <v/>
      </c>
      <c r="F8" s="303">
        <f>'Entrada de Dados'!E2-3.67</f>
        <v/>
      </c>
      <c r="G8" s="303">
        <f>E8*F8</f>
        <v/>
      </c>
      <c r="H8" s="305" t="n"/>
      <c r="I8" s="353">
        <f>IF(H8="","",LOOKUP(H8,MOTIVO!$A$4:$A$23,MOTIVO!$B$4:$B$23))</f>
        <v/>
      </c>
    </row>
    <row r="9" ht="24" customHeight="1" s="163">
      <c r="A9" s="307" t="inlineStr">
        <is>
          <t>Alface lisa</t>
        </is>
      </c>
      <c r="B9" s="303">
        <f>'Entrada de Dados'!F209</f>
        <v/>
      </c>
      <c r="C9" s="303">
        <f>'Entrada de Dados'!F235</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Dados'!G209</f>
        <v/>
      </c>
      <c r="C10" s="303">
        <f>'Entrada de Dados'!G235</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Dados'!H209</f>
        <v/>
      </c>
      <c r="C11" s="303">
        <f>'Entrada de Dados'!H235</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Dados'!I209</f>
        <v/>
      </c>
      <c r="C12" s="303">
        <f>'Entrada de Dados'!I235</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Dados'!J209</f>
        <v/>
      </c>
      <c r="C13" s="303">
        <f>'Entrada de Dados'!J235</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Dados'!K209</f>
        <v/>
      </c>
      <c r="C14" s="303">
        <f>'Entrada de Dados'!K235</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Dados'!L209</f>
        <v/>
      </c>
      <c r="C15" s="303">
        <f>'Entrada de Dados'!L235</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Dados'!M209</f>
        <v/>
      </c>
      <c r="C16" s="303">
        <f>'Entrada de Dados'!M235</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Dados'!N209</f>
        <v/>
      </c>
      <c r="C17" s="303">
        <f>'Entrada de Dados'!N235</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Dados'!O209</f>
        <v/>
      </c>
      <c r="C18" s="303">
        <f>'Entrada de Dados'!O235</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Dados'!P209</f>
        <v/>
      </c>
      <c r="C19" s="303">
        <f>'Entrada de Dados'!P235</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Dados'!Q209</f>
        <v/>
      </c>
      <c r="C20" s="303">
        <f>'Entrada de Dados'!Q235</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Dados'!R209</f>
        <v/>
      </c>
      <c r="C21" s="303">
        <f>'Entrada de Dados'!R235</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Dados'!S209</f>
        <v/>
      </c>
      <c r="C22" s="303">
        <f>'Entrada de Dados'!S235</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Dados'!T209</f>
        <v/>
      </c>
      <c r="C23" s="303">
        <f>'Entrada de Dados'!T235</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Dados'!U209</f>
        <v/>
      </c>
      <c r="C24" s="303">
        <f>'Entrada de Dados'!U235</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0.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Jorge Gabriel Pereira Diniz</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Dados'!C210</f>
        <v/>
      </c>
      <c r="C6" s="303">
        <f>'Entrada de Dados'!C236</f>
        <v/>
      </c>
      <c r="D6" s="304" t="n"/>
      <c r="E6" s="415">
        <f>C6-D6</f>
        <v/>
      </c>
      <c r="F6" s="303">
        <f>'Entrada de Dados'!C2-3.67</f>
        <v/>
      </c>
      <c r="G6" s="303">
        <f>E6*F6</f>
        <v/>
      </c>
      <c r="H6" s="305" t="n"/>
      <c r="I6" s="353">
        <f>IF(H6="","",LOOKUP(H6,MOTIVO!$A$4:$A$23,MOTIVO!$B$4:$B$23))</f>
        <v/>
      </c>
    </row>
    <row r="7" ht="24" customHeight="1" s="163">
      <c r="A7" s="307" t="inlineStr">
        <is>
          <t>Abobrinha</t>
        </is>
      </c>
      <c r="B7" s="303">
        <f>'Entrada de Dados'!D210</f>
        <v/>
      </c>
      <c r="C7" s="303">
        <f>'Entrada de Dados'!D236</f>
        <v/>
      </c>
      <c r="D7" s="304" t="n"/>
      <c r="E7" s="415">
        <f>C7-D7</f>
        <v/>
      </c>
      <c r="F7" s="303">
        <f>'Entrada de Dados'!D2-3.67</f>
        <v/>
      </c>
      <c r="G7" s="303">
        <f>E7*F7</f>
        <v/>
      </c>
      <c r="H7" s="305" t="n"/>
      <c r="I7" s="353">
        <f>IF(H7="","",LOOKUP(H7,MOTIVO!$A$4:$A$23,MOTIVO!$B$4:$B$23))</f>
        <v/>
      </c>
    </row>
    <row r="8" ht="24" customHeight="1" s="163">
      <c r="A8" s="302" t="inlineStr">
        <is>
          <t>Agrião</t>
        </is>
      </c>
      <c r="B8" s="303">
        <f>'Entrada de Dados'!E210</f>
        <v/>
      </c>
      <c r="C8" s="303">
        <f>'Entrada de Dados'!E236</f>
        <v/>
      </c>
      <c r="D8" s="304" t="n"/>
      <c r="E8" s="415">
        <f>C8-D8</f>
        <v/>
      </c>
      <c r="F8" s="303">
        <f>'Entrada de Dados'!E2-3.67</f>
        <v/>
      </c>
      <c r="G8" s="303">
        <f>E8*F8</f>
        <v/>
      </c>
      <c r="H8" s="305" t="n"/>
      <c r="I8" s="353">
        <f>IF(H8="","",LOOKUP(H8,MOTIVO!$A$4:$A$23,MOTIVO!$B$4:$B$23))</f>
        <v/>
      </c>
    </row>
    <row r="9" ht="24" customHeight="1" s="163">
      <c r="A9" s="307" t="inlineStr">
        <is>
          <t>Alface lisa</t>
        </is>
      </c>
      <c r="B9" s="303">
        <f>'Entrada de Dados'!F210</f>
        <v/>
      </c>
      <c r="C9" s="303">
        <f>'Entrada de Dados'!F236</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Dados'!G210</f>
        <v/>
      </c>
      <c r="C10" s="303">
        <f>'Entrada de Dados'!G236</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Dados'!H210</f>
        <v/>
      </c>
      <c r="C11" s="303">
        <f>'Entrada de Dados'!H236</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Dados'!I210</f>
        <v/>
      </c>
      <c r="C12" s="303">
        <f>'Entrada de Dados'!I236</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Dados'!J210</f>
        <v/>
      </c>
      <c r="C13" s="303">
        <f>'Entrada de Dados'!J236</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Dados'!K210</f>
        <v/>
      </c>
      <c r="C14" s="303">
        <f>'Entrada de Dados'!K236</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Dados'!L210</f>
        <v/>
      </c>
      <c r="C15" s="303">
        <f>'Entrada de Dados'!L236</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Dados'!M210</f>
        <v/>
      </c>
      <c r="C16" s="303">
        <f>'Entrada de Dados'!M236</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Dados'!N210</f>
        <v/>
      </c>
      <c r="C17" s="303">
        <f>'Entrada de Dados'!N236</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Dados'!O210</f>
        <v/>
      </c>
      <c r="C18" s="303">
        <f>'Entrada de Dados'!O236</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Dados'!P210</f>
        <v/>
      </c>
      <c r="C19" s="303">
        <f>'Entrada de Dados'!P236</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Dados'!Q210</f>
        <v/>
      </c>
      <c r="C20" s="303">
        <f>'Entrada de Dados'!Q236</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Dados'!R210</f>
        <v/>
      </c>
      <c r="C21" s="303">
        <f>'Entrada de Dados'!R236</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Dados'!S210</f>
        <v/>
      </c>
      <c r="C22" s="303">
        <f>'Entrada de Dados'!S236</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Dados'!T210</f>
        <v/>
      </c>
      <c r="C23" s="303">
        <f>'Entrada de Dados'!T236</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Dados'!U210</f>
        <v/>
      </c>
      <c r="C24" s="303">
        <f>'Entrada de Dados'!U236</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1.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Jose Gilmar Santana de Mello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Dados'!C211</f>
        <v/>
      </c>
      <c r="C6" s="303">
        <f>'Entrada de Dados'!C237</f>
        <v/>
      </c>
      <c r="D6" s="304" t="n"/>
      <c r="E6" s="415">
        <f>C6-D6</f>
        <v/>
      </c>
      <c r="F6" s="303">
        <f>'Entrada de Dados'!C2-3.67</f>
        <v/>
      </c>
      <c r="G6" s="303">
        <f>E6*F6</f>
        <v/>
      </c>
      <c r="H6" s="305" t="n"/>
      <c r="I6" s="353">
        <f>IF(H6="","",LOOKUP(H6,MOTIVO!$A$4:$A$23,MOTIVO!$B$4:$B$23))</f>
        <v/>
      </c>
    </row>
    <row r="7" ht="24" customHeight="1" s="163">
      <c r="A7" s="307" t="inlineStr">
        <is>
          <t>Abobrinha</t>
        </is>
      </c>
      <c r="B7" s="303">
        <f>'Entrada de Dados'!D211</f>
        <v/>
      </c>
      <c r="C7" s="303">
        <f>'Entrada de Dados'!D237</f>
        <v/>
      </c>
      <c r="D7" s="304" t="n"/>
      <c r="E7" s="415">
        <f>C7-D7</f>
        <v/>
      </c>
      <c r="F7" s="303">
        <f>'Entrada de Dados'!D2-3.67</f>
        <v/>
      </c>
      <c r="G7" s="303">
        <f>E7*F7</f>
        <v/>
      </c>
      <c r="H7" s="305" t="n"/>
      <c r="I7" s="353">
        <f>IF(H7="","",LOOKUP(H7,MOTIVO!$A$4:$A$23,MOTIVO!$B$4:$B$23))</f>
        <v/>
      </c>
    </row>
    <row r="8" ht="24" customHeight="1" s="163">
      <c r="A8" s="302" t="inlineStr">
        <is>
          <t>Agrião</t>
        </is>
      </c>
      <c r="B8" s="303">
        <f>'Entrada de Dados'!E211</f>
        <v/>
      </c>
      <c r="C8" s="303">
        <f>'Entrada de Dados'!E237</f>
        <v/>
      </c>
      <c r="D8" s="304" t="n"/>
      <c r="E8" s="415">
        <f>C8-D8</f>
        <v/>
      </c>
      <c r="F8" s="303">
        <f>'Entrada de Dados'!E2-3.67</f>
        <v/>
      </c>
      <c r="G8" s="303">
        <f>E8*F8</f>
        <v/>
      </c>
      <c r="H8" s="305" t="n"/>
      <c r="I8" s="353">
        <f>IF(H8="","",LOOKUP(H8,MOTIVO!$A$4:$A$23,MOTIVO!$B$4:$B$23))</f>
        <v/>
      </c>
    </row>
    <row r="9" ht="24" customHeight="1" s="163">
      <c r="A9" s="307" t="inlineStr">
        <is>
          <t>Alface lisa</t>
        </is>
      </c>
      <c r="B9" s="303">
        <f>'Entrada de Dados'!F211</f>
        <v/>
      </c>
      <c r="C9" s="303">
        <f>'Entrada de Dados'!F237</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Dados'!G211</f>
        <v/>
      </c>
      <c r="C10" s="303">
        <f>'Entrada de Dados'!G237</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Dados'!H211</f>
        <v/>
      </c>
      <c r="C11" s="303">
        <f>'Entrada de Dados'!H237</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Dados'!I211</f>
        <v/>
      </c>
      <c r="C12" s="303">
        <f>'Entrada de Dados'!I237</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Dados'!J211</f>
        <v/>
      </c>
      <c r="C13" s="303">
        <f>'Entrada de Dados'!J237</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Dados'!K211</f>
        <v/>
      </c>
      <c r="C14" s="303">
        <f>'Entrada de Dados'!K237</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Dados'!L211</f>
        <v/>
      </c>
      <c r="C15" s="303">
        <f>'Entrada de Dados'!L237</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Dados'!M211</f>
        <v/>
      </c>
      <c r="C16" s="303">
        <f>'Entrada de Dados'!M237</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Dados'!N211</f>
        <v/>
      </c>
      <c r="C17" s="303">
        <f>'Entrada de Dados'!N237</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Dados'!O211</f>
        <v/>
      </c>
      <c r="C18" s="303">
        <f>'Entrada de Dados'!O237</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Dados'!P211</f>
        <v/>
      </c>
      <c r="C19" s="303">
        <f>'Entrada de Dados'!P237</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Dados'!Q211</f>
        <v/>
      </c>
      <c r="C20" s="303">
        <f>'Entrada de Dados'!Q237</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Dados'!R211</f>
        <v/>
      </c>
      <c r="C21" s="303">
        <f>'Entrada de Dados'!R237</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Dados'!S211</f>
        <v/>
      </c>
      <c r="C22" s="303">
        <f>'Entrada de Dados'!S237</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Dados'!T211</f>
        <v/>
      </c>
      <c r="C23" s="303">
        <f>'Entrada de Dados'!T237</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Dados'!U211</f>
        <v/>
      </c>
      <c r="C24" s="303">
        <f>'Entrada de Dados'!U237</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2.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Jose Rodrigues de Melo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Dados'!C212</f>
        <v/>
      </c>
      <c r="C6" s="303">
        <f>'Entrada de Dados'!C238</f>
        <v/>
      </c>
      <c r="D6" s="304" t="n"/>
      <c r="E6" s="415">
        <f>C6-D6</f>
        <v/>
      </c>
      <c r="F6" s="303">
        <f>'Entrada de Dados'!C2-3.67</f>
        <v/>
      </c>
      <c r="G6" s="303">
        <f>E6*F6</f>
        <v/>
      </c>
      <c r="H6" s="305" t="n"/>
      <c r="I6" s="353">
        <f>IF(H6="","",LOOKUP(H6,MOTIVO!$A$4:$A$23,MOTIVO!$B$4:$B$23))</f>
        <v/>
      </c>
    </row>
    <row r="7" ht="24" customHeight="1" s="163">
      <c r="A7" s="307" t="inlineStr">
        <is>
          <t>Abobrinha</t>
        </is>
      </c>
      <c r="B7" s="303">
        <f>'Entrada de Dados'!D212</f>
        <v/>
      </c>
      <c r="C7" s="303">
        <f>'Entrada de Dados'!D238</f>
        <v/>
      </c>
      <c r="D7" s="304" t="n"/>
      <c r="E7" s="415">
        <f>C7-D7</f>
        <v/>
      </c>
      <c r="F7" s="303">
        <f>'Entrada de Dados'!D2-3.67</f>
        <v/>
      </c>
      <c r="G7" s="303">
        <f>E7*F7</f>
        <v/>
      </c>
      <c r="H7" s="305" t="n"/>
      <c r="I7" s="353">
        <f>IF(H7="","",LOOKUP(H7,MOTIVO!$A$4:$A$23,MOTIVO!$B$4:$B$23))</f>
        <v/>
      </c>
    </row>
    <row r="8" ht="24" customHeight="1" s="163">
      <c r="A8" s="302" t="inlineStr">
        <is>
          <t>Agrião</t>
        </is>
      </c>
      <c r="B8" s="303">
        <f>'Entrada de Dados'!E212</f>
        <v/>
      </c>
      <c r="C8" s="303">
        <f>'Entrada de Dados'!E238</f>
        <v/>
      </c>
      <c r="D8" s="304" t="n"/>
      <c r="E8" s="415">
        <f>C8-D8</f>
        <v/>
      </c>
      <c r="F8" s="303">
        <f>'Entrada de Dados'!E2-3.67</f>
        <v/>
      </c>
      <c r="G8" s="303">
        <f>E8*F8</f>
        <v/>
      </c>
      <c r="H8" s="305" t="n"/>
      <c r="I8" s="353">
        <f>IF(H8="","",LOOKUP(H8,MOTIVO!$A$4:$A$23,MOTIVO!$B$4:$B$23))</f>
        <v/>
      </c>
    </row>
    <row r="9" ht="24" customHeight="1" s="163">
      <c r="A9" s="307" t="inlineStr">
        <is>
          <t>Alface lisa</t>
        </is>
      </c>
      <c r="B9" s="303">
        <f>'Entrada de Dados'!F212</f>
        <v/>
      </c>
      <c r="C9" s="303">
        <f>'Entrada de Dados'!F238</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Dados'!G212</f>
        <v/>
      </c>
      <c r="C10" s="303">
        <f>'Entrada de Dados'!G238</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Dados'!H212</f>
        <v/>
      </c>
      <c r="C11" s="303">
        <f>'Entrada de Dados'!H238</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Dados'!I212</f>
        <v/>
      </c>
      <c r="C12" s="303">
        <f>'Entrada de Dados'!I238</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Dados'!J212</f>
        <v/>
      </c>
      <c r="C13" s="303">
        <f>'Entrada de Dados'!J238</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Dados'!K212</f>
        <v/>
      </c>
      <c r="C14" s="303">
        <f>'Entrada de Dados'!K238</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Dados'!L212</f>
        <v/>
      </c>
      <c r="C15" s="303">
        <f>'Entrada de Dados'!L238</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Dados'!M212</f>
        <v/>
      </c>
      <c r="C16" s="303">
        <f>'Entrada de Dados'!M238</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Dados'!N212</f>
        <v/>
      </c>
      <c r="C17" s="303">
        <f>'Entrada de Dados'!N238</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Dados'!O212</f>
        <v/>
      </c>
      <c r="C18" s="303">
        <f>'Entrada de Dados'!O238</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Dados'!P212</f>
        <v/>
      </c>
      <c r="C19" s="303">
        <f>'Entrada de Dados'!P238</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Dados'!Q212</f>
        <v/>
      </c>
      <c r="C20" s="303">
        <f>'Entrada de Dados'!Q238</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Dados'!R212</f>
        <v/>
      </c>
      <c r="C21" s="303">
        <f>'Entrada de Dados'!R238</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Dados'!S212</f>
        <v/>
      </c>
      <c r="C22" s="303">
        <f>'Entrada de Dados'!S238</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Dados'!T212</f>
        <v/>
      </c>
      <c r="C23" s="303">
        <f>'Entrada de Dados'!T238</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Dados'!U212</f>
        <v/>
      </c>
      <c r="C24" s="303">
        <f>'Entrada de Dados'!U238</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3.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Lucio Mauro Felix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Dados'!C213</f>
        <v/>
      </c>
      <c r="C6" s="303">
        <f>'Entrada de Dados'!C239</f>
        <v/>
      </c>
      <c r="D6" s="304" t="n"/>
      <c r="E6" s="415">
        <f>C6-D6</f>
        <v/>
      </c>
      <c r="F6" s="303">
        <f>'Entrada de Dados'!C2-3.67</f>
        <v/>
      </c>
      <c r="G6" s="303">
        <f>E6*F6</f>
        <v/>
      </c>
      <c r="H6" s="305" t="n"/>
      <c r="I6" s="353">
        <f>IF(H6="","",LOOKUP(H6,MOTIVO!$A$4:$A$23,MOTIVO!$B$4:$B$23))</f>
        <v/>
      </c>
    </row>
    <row r="7" ht="24" customHeight="1" s="163">
      <c r="A7" s="307" t="inlineStr">
        <is>
          <t>Abobrinha</t>
        </is>
      </c>
      <c r="B7" s="303">
        <f>'Entrada de Dados'!D213</f>
        <v/>
      </c>
      <c r="C7" s="303">
        <f>'Entrada de Dados'!D239</f>
        <v/>
      </c>
      <c r="D7" s="304" t="n"/>
      <c r="E7" s="415">
        <f>C7-D7</f>
        <v/>
      </c>
      <c r="F7" s="303">
        <f>'Entrada de Dados'!D2-3.67</f>
        <v/>
      </c>
      <c r="G7" s="303">
        <f>E7*F7</f>
        <v/>
      </c>
      <c r="H7" s="305" t="n"/>
      <c r="I7" s="353">
        <f>IF(H7="","",LOOKUP(H7,MOTIVO!$A$4:$A$23,MOTIVO!$B$4:$B$23))</f>
        <v/>
      </c>
    </row>
    <row r="8" ht="24" customHeight="1" s="163">
      <c r="A8" s="302" t="inlineStr">
        <is>
          <t>Agrião</t>
        </is>
      </c>
      <c r="B8" s="303">
        <f>'Entrada de Dados'!E213</f>
        <v/>
      </c>
      <c r="C8" s="303">
        <f>'Entrada de Dados'!E239</f>
        <v/>
      </c>
      <c r="D8" s="304" t="n"/>
      <c r="E8" s="415">
        <f>C8-D8</f>
        <v/>
      </c>
      <c r="F8" s="303">
        <f>'Entrada de Dados'!E2-3.67</f>
        <v/>
      </c>
      <c r="G8" s="303">
        <f>E8*F8</f>
        <v/>
      </c>
      <c r="H8" s="305" t="n"/>
      <c r="I8" s="353">
        <f>IF(H8="","",LOOKUP(H8,MOTIVO!$A$4:$A$23,MOTIVO!$B$4:$B$23))</f>
        <v/>
      </c>
    </row>
    <row r="9" ht="24" customHeight="1" s="163">
      <c r="A9" s="307" t="inlineStr">
        <is>
          <t>Alface lisa</t>
        </is>
      </c>
      <c r="B9" s="303">
        <f>'Entrada de Dados'!F213</f>
        <v/>
      </c>
      <c r="C9" s="303">
        <f>'Entrada de Dados'!F239</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Dados'!G213</f>
        <v/>
      </c>
      <c r="C10" s="303">
        <f>'Entrada de Dados'!G239</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Dados'!H213</f>
        <v/>
      </c>
      <c r="C11" s="303">
        <f>'Entrada de Dados'!H239</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Dados'!I213</f>
        <v/>
      </c>
      <c r="C12" s="303">
        <f>'Entrada de Dados'!I239</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Dados'!J213</f>
        <v/>
      </c>
      <c r="C13" s="303">
        <f>'Entrada de Dados'!J239</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Dados'!K213</f>
        <v/>
      </c>
      <c r="C14" s="303">
        <f>'Entrada de Dados'!K239</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Dados'!L213</f>
        <v/>
      </c>
      <c r="C15" s="303">
        <f>'Entrada de Dados'!L239</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Dados'!M213</f>
        <v/>
      </c>
      <c r="C16" s="303">
        <f>'Entrada de Dados'!M239</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Dados'!N213</f>
        <v/>
      </c>
      <c r="C17" s="303">
        <f>'Entrada de Dados'!N239</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Dados'!O213</f>
        <v/>
      </c>
      <c r="C18" s="303">
        <f>'Entrada de Dados'!O239</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Dados'!P213</f>
        <v/>
      </c>
      <c r="C19" s="303">
        <f>'Entrada de Dados'!P239</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Dados'!Q213</f>
        <v/>
      </c>
      <c r="C20" s="303">
        <f>'Entrada de Dados'!Q239</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Dados'!R213</f>
        <v/>
      </c>
      <c r="C21" s="303">
        <f>'Entrada de Dados'!R239</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Dados'!S213</f>
        <v/>
      </c>
      <c r="C22" s="303">
        <f>'Entrada de Dados'!S239</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Dados'!T213</f>
        <v/>
      </c>
      <c r="C23" s="303">
        <f>'Entrada de Dados'!T239</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Dados'!U213</f>
        <v/>
      </c>
      <c r="C24" s="303">
        <f>'Entrada de Dados'!U239</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4.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Luiz Ailton de Oliveira Pinto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Dados'!C214</f>
        <v/>
      </c>
      <c r="C6" s="303">
        <f>'Entrada de Dados'!C240</f>
        <v/>
      </c>
      <c r="D6" s="304" t="n"/>
      <c r="E6" s="415">
        <f>C6-D6</f>
        <v/>
      </c>
      <c r="F6" s="303">
        <f>'Entrada de Dados'!C2-3.67</f>
        <v/>
      </c>
      <c r="G6" s="303">
        <f>E6*F6</f>
        <v/>
      </c>
      <c r="H6" s="305" t="n"/>
      <c r="I6" s="353">
        <f>IF(H6="","",LOOKUP(H6,MOTIVO!$A$4:$A$23,MOTIVO!$B$4:$B$23))</f>
        <v/>
      </c>
    </row>
    <row r="7" ht="24" customHeight="1" s="163">
      <c r="A7" s="307" t="inlineStr">
        <is>
          <t>Abobrinha</t>
        </is>
      </c>
      <c r="B7" s="303">
        <f>'Entrada de Dados'!D214</f>
        <v/>
      </c>
      <c r="C7" s="303">
        <f>'Entrada de Dados'!D240</f>
        <v/>
      </c>
      <c r="D7" s="304" t="n"/>
      <c r="E7" s="415">
        <f>C7-D7</f>
        <v/>
      </c>
      <c r="F7" s="303">
        <f>'Entrada de Dados'!D2-3.67</f>
        <v/>
      </c>
      <c r="G7" s="303">
        <f>E7*F7</f>
        <v/>
      </c>
      <c r="H7" s="305" t="n"/>
      <c r="I7" s="353">
        <f>IF(H7="","",LOOKUP(H7,MOTIVO!$A$4:$A$23,MOTIVO!$B$4:$B$23))</f>
        <v/>
      </c>
    </row>
    <row r="8" ht="24" customHeight="1" s="163">
      <c r="A8" s="302" t="inlineStr">
        <is>
          <t>Agrião</t>
        </is>
      </c>
      <c r="B8" s="303">
        <f>'Entrada de Dados'!E214</f>
        <v/>
      </c>
      <c r="C8" s="303">
        <f>'Entrada de Dados'!E240</f>
        <v/>
      </c>
      <c r="D8" s="304" t="n"/>
      <c r="E8" s="415">
        <f>C8-D8</f>
        <v/>
      </c>
      <c r="F8" s="303">
        <f>'Entrada de Dados'!E2-3.67</f>
        <v/>
      </c>
      <c r="G8" s="303">
        <f>E8*F8</f>
        <v/>
      </c>
      <c r="H8" s="305" t="n"/>
      <c r="I8" s="353">
        <f>IF(H8="","",LOOKUP(H8,MOTIVO!$A$4:$A$23,MOTIVO!$B$4:$B$23))</f>
        <v/>
      </c>
    </row>
    <row r="9" ht="24" customHeight="1" s="163">
      <c r="A9" s="307" t="inlineStr">
        <is>
          <t>Alface lisa</t>
        </is>
      </c>
      <c r="B9" s="303">
        <f>'Entrada de Dados'!F214</f>
        <v/>
      </c>
      <c r="C9" s="303">
        <f>'Entrada de Dados'!F240</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Dados'!G214</f>
        <v/>
      </c>
      <c r="C10" s="303">
        <f>'Entrada de Dados'!G240</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Dados'!H214</f>
        <v/>
      </c>
      <c r="C11" s="303">
        <f>'Entrada de Dados'!H240</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Dados'!I214</f>
        <v/>
      </c>
      <c r="C12" s="303">
        <f>'Entrada de Dados'!I240</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Dados'!J214</f>
        <v/>
      </c>
      <c r="C13" s="303">
        <f>'Entrada de Dados'!J240</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Dados'!K214</f>
        <v/>
      </c>
      <c r="C14" s="303">
        <f>'Entrada de Dados'!K240</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Dados'!L214</f>
        <v/>
      </c>
      <c r="C15" s="303">
        <f>'Entrada de Dados'!L240</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Dados'!M214</f>
        <v/>
      </c>
      <c r="C16" s="303">
        <f>'Entrada de Dados'!M240</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Dados'!N214</f>
        <v/>
      </c>
      <c r="C17" s="303">
        <f>'Entrada de Dados'!N240</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Dados'!O214</f>
        <v/>
      </c>
      <c r="C18" s="303">
        <f>'Entrada de Dados'!O240</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Dados'!P214</f>
        <v/>
      </c>
      <c r="C19" s="303">
        <f>'Entrada de Dados'!P240</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Dados'!Q214</f>
        <v/>
      </c>
      <c r="C20" s="303">
        <f>'Entrada de Dados'!Q240</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Dados'!R214</f>
        <v/>
      </c>
      <c r="C21" s="303">
        <f>'Entrada de Dados'!R240</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Dados'!S214</f>
        <v/>
      </c>
      <c r="C22" s="303">
        <f>'Entrada de Dados'!S240</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Dados'!T214</f>
        <v/>
      </c>
      <c r="C23" s="303">
        <f>'Entrada de Dados'!T240</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Dados'!U214</f>
        <v/>
      </c>
      <c r="C24" s="303">
        <f>'Entrada de Dados'!U240</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5.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Marcelo Marcos Delgado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Dados'!C215</f>
        <v/>
      </c>
      <c r="C6" s="303">
        <f>'Entrada de Dados'!C241</f>
        <v/>
      </c>
      <c r="D6" s="304" t="n"/>
      <c r="E6" s="415">
        <f>C6-D6</f>
        <v/>
      </c>
      <c r="F6" s="303">
        <f>'Entrada de Dados'!C2-3.67</f>
        <v/>
      </c>
      <c r="G6" s="303">
        <f>E6*F6</f>
        <v/>
      </c>
      <c r="H6" s="305" t="n"/>
      <c r="I6" s="353">
        <f>IF(H6="","",LOOKUP(H6,MOTIVO!$A$4:$A$23,MOTIVO!$B$4:$B$23))</f>
        <v/>
      </c>
    </row>
    <row r="7" ht="24" customHeight="1" s="163">
      <c r="A7" s="307" t="inlineStr">
        <is>
          <t>Abobrinha</t>
        </is>
      </c>
      <c r="B7" s="303">
        <f>'Entrada de Dados'!D215</f>
        <v/>
      </c>
      <c r="C7" s="303">
        <f>'Entrada de Dados'!D241</f>
        <v/>
      </c>
      <c r="D7" s="304" t="n"/>
      <c r="E7" s="415">
        <f>C7-D7</f>
        <v/>
      </c>
      <c r="F7" s="303">
        <f>'Entrada de Dados'!D2-3.67</f>
        <v/>
      </c>
      <c r="G7" s="303">
        <f>E7*F7</f>
        <v/>
      </c>
      <c r="H7" s="305" t="n"/>
      <c r="I7" s="353">
        <f>IF(H7="","",LOOKUP(H7,MOTIVO!$A$4:$A$23,MOTIVO!$B$4:$B$23))</f>
        <v/>
      </c>
    </row>
    <row r="8" ht="24" customHeight="1" s="163">
      <c r="A8" s="302" t="inlineStr">
        <is>
          <t>Agrião</t>
        </is>
      </c>
      <c r="B8" s="303">
        <f>'Entrada de Dados'!E215</f>
        <v/>
      </c>
      <c r="C8" s="303">
        <f>'Entrada de Dados'!E241</f>
        <v/>
      </c>
      <c r="D8" s="304" t="n"/>
      <c r="E8" s="415">
        <f>C8-D8</f>
        <v/>
      </c>
      <c r="F8" s="303">
        <f>'Entrada de Dados'!E2-3.67</f>
        <v/>
      </c>
      <c r="G8" s="303">
        <f>E8*F8</f>
        <v/>
      </c>
      <c r="H8" s="305" t="n"/>
      <c r="I8" s="353">
        <f>IF(H8="","",LOOKUP(H8,MOTIVO!$A$4:$A$23,MOTIVO!$B$4:$B$23))</f>
        <v/>
      </c>
    </row>
    <row r="9" ht="24" customHeight="1" s="163">
      <c r="A9" s="307" t="inlineStr">
        <is>
          <t>Alface lisa</t>
        </is>
      </c>
      <c r="B9" s="303">
        <f>'Entrada de Dados'!F215</f>
        <v/>
      </c>
      <c r="C9" s="303">
        <f>'Entrada de Dados'!F241</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Dados'!G215</f>
        <v/>
      </c>
      <c r="C10" s="303">
        <f>'Entrada de Dados'!G241</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Dados'!H215</f>
        <v/>
      </c>
      <c r="C11" s="303">
        <f>'Entrada de Dados'!H241</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Dados'!I215</f>
        <v/>
      </c>
      <c r="C12" s="303">
        <f>'Entrada de Dados'!I241</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Dados'!J215</f>
        <v/>
      </c>
      <c r="C13" s="303">
        <f>'Entrada de Dados'!J241</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Dados'!K215</f>
        <v/>
      </c>
      <c r="C14" s="303">
        <f>'Entrada de Dados'!K241</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Dados'!L215</f>
        <v/>
      </c>
      <c r="C15" s="303">
        <f>'Entrada de Dados'!L241</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Dados'!M215</f>
        <v/>
      </c>
      <c r="C16" s="303">
        <f>'Entrada de Dados'!M241</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Dados'!N215</f>
        <v/>
      </c>
      <c r="C17" s="303">
        <f>'Entrada de Dados'!N241</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Dados'!O215</f>
        <v/>
      </c>
      <c r="C18" s="303">
        <f>'Entrada de Dados'!O241</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Dados'!P215</f>
        <v/>
      </c>
      <c r="C19" s="303">
        <f>'Entrada de Dados'!P241</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Dados'!Q215</f>
        <v/>
      </c>
      <c r="C20" s="303">
        <f>'Entrada de Dados'!Q241</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Dados'!R215</f>
        <v/>
      </c>
      <c r="C21" s="303">
        <f>'Entrada de Dados'!R241</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Dados'!S215</f>
        <v/>
      </c>
      <c r="C22" s="303">
        <f>'Entrada de Dados'!S241</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Dados'!T215</f>
        <v/>
      </c>
      <c r="C23" s="303">
        <f>'Entrada de Dados'!T241</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Dados'!U215</f>
        <v/>
      </c>
      <c r="C24" s="303">
        <f>'Entrada de Dados'!U241</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6.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Marcio Azevedo de Souza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Dados'!C216</f>
        <v/>
      </c>
      <c r="C6" s="303">
        <f>'Entrada de Dados'!C242</f>
        <v/>
      </c>
      <c r="D6" s="304" t="n"/>
      <c r="E6" s="415">
        <f>C6-D6</f>
        <v/>
      </c>
      <c r="F6" s="303">
        <f>'Entrada de Dados'!C2-3.67</f>
        <v/>
      </c>
      <c r="G6" s="303">
        <f>E6*F6</f>
        <v/>
      </c>
      <c r="H6" s="305" t="n"/>
      <c r="I6" s="353">
        <f>IF(H6="","",LOOKUP(H6,MOTIVO!$A$4:$A$23,MOTIVO!$B$4:$B$23))</f>
        <v/>
      </c>
    </row>
    <row r="7" ht="24" customHeight="1" s="163">
      <c r="A7" s="307" t="inlineStr">
        <is>
          <t>Abobrinha</t>
        </is>
      </c>
      <c r="B7" s="303">
        <f>'Entrada de Dados'!D216</f>
        <v/>
      </c>
      <c r="C7" s="303">
        <f>'Entrada de Dados'!D242</f>
        <v/>
      </c>
      <c r="D7" s="304" t="n"/>
      <c r="E7" s="415">
        <f>C7-D7</f>
        <v/>
      </c>
      <c r="F7" s="303">
        <f>'Entrada de Dados'!D2-3.67</f>
        <v/>
      </c>
      <c r="G7" s="303">
        <f>E7*F7</f>
        <v/>
      </c>
      <c r="H7" s="305" t="n"/>
      <c r="I7" s="353">
        <f>IF(H7="","",LOOKUP(H7,MOTIVO!$A$4:$A$23,MOTIVO!$B$4:$B$23))</f>
        <v/>
      </c>
    </row>
    <row r="8" ht="24" customHeight="1" s="163">
      <c r="A8" s="302" t="inlineStr">
        <is>
          <t>Agrião</t>
        </is>
      </c>
      <c r="B8" s="303">
        <f>'Entrada de Dados'!E216</f>
        <v/>
      </c>
      <c r="C8" s="303">
        <f>'Entrada de Dados'!E242</f>
        <v/>
      </c>
      <c r="D8" s="304" t="n"/>
      <c r="E8" s="415">
        <f>C8-D8</f>
        <v/>
      </c>
      <c r="F8" s="303">
        <f>'Entrada de Dados'!E2-3.67</f>
        <v/>
      </c>
      <c r="G8" s="303">
        <f>E8*F8</f>
        <v/>
      </c>
      <c r="H8" s="305" t="n"/>
      <c r="I8" s="353">
        <f>IF(H8="","",LOOKUP(H8,MOTIVO!$A$4:$A$23,MOTIVO!$B$4:$B$23))</f>
        <v/>
      </c>
    </row>
    <row r="9" ht="24" customHeight="1" s="163">
      <c r="A9" s="307" t="inlineStr">
        <is>
          <t>Alface lisa</t>
        </is>
      </c>
      <c r="B9" s="303">
        <f>'Entrada de Dados'!F216</f>
        <v/>
      </c>
      <c r="C9" s="303">
        <f>'Entrada de Dados'!F242</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Dados'!G216</f>
        <v/>
      </c>
      <c r="C10" s="303">
        <f>'Entrada de Dados'!G242</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Dados'!H216</f>
        <v/>
      </c>
      <c r="C11" s="303">
        <f>'Entrada de Dados'!H242</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Dados'!I216</f>
        <v/>
      </c>
      <c r="C12" s="303">
        <f>'Entrada de Dados'!I242</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Dados'!J216</f>
        <v/>
      </c>
      <c r="C13" s="303">
        <f>'Entrada de Dados'!J242</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Dados'!K216</f>
        <v/>
      </c>
      <c r="C14" s="303">
        <f>'Entrada de Dados'!K242</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Dados'!L216</f>
        <v/>
      </c>
      <c r="C15" s="303">
        <f>'Entrada de Dados'!L242</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Dados'!M216</f>
        <v/>
      </c>
      <c r="C16" s="303">
        <f>'Entrada de Dados'!M242</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Dados'!N216</f>
        <v/>
      </c>
      <c r="C17" s="303">
        <f>'Entrada de Dados'!N242</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Dados'!O216</f>
        <v/>
      </c>
      <c r="C18" s="303">
        <f>'Entrada de Dados'!O242</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Dados'!P216</f>
        <v/>
      </c>
      <c r="C19" s="303">
        <f>'Entrada de Dados'!P242</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Dados'!Q216</f>
        <v/>
      </c>
      <c r="C20" s="303">
        <f>'Entrada de Dados'!Q242</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Dados'!R216</f>
        <v/>
      </c>
      <c r="C21" s="303">
        <f>'Entrada de Dados'!R242</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Dados'!S216</f>
        <v/>
      </c>
      <c r="C22" s="303">
        <f>'Entrada de Dados'!S242</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Dados'!T216</f>
        <v/>
      </c>
      <c r="C23" s="303">
        <f>'Entrada de Dados'!T242</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Dados'!U216</f>
        <v/>
      </c>
      <c r="C24" s="303">
        <f>'Entrada de Dados'!U242</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7.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Marco Antonio Coelho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Dados'!C217</f>
        <v/>
      </c>
      <c r="C6" s="303">
        <f>'Entrada de Dados'!C243</f>
        <v/>
      </c>
      <c r="D6" s="304" t="n"/>
      <c r="E6" s="415">
        <f>C6-D6</f>
        <v/>
      </c>
      <c r="F6" s="303">
        <f>'Entrada de Dados'!C2-3.67</f>
        <v/>
      </c>
      <c r="G6" s="303">
        <f>E6*F6</f>
        <v/>
      </c>
      <c r="H6" s="305" t="n"/>
      <c r="I6" s="353">
        <f>IF(H6="","",LOOKUP(H6,MOTIVO!$A$4:$A$23,MOTIVO!$B$4:$B$23))</f>
        <v/>
      </c>
    </row>
    <row r="7" ht="24" customHeight="1" s="163">
      <c r="A7" s="307" t="inlineStr">
        <is>
          <t>Abobrinha</t>
        </is>
      </c>
      <c r="B7" s="303">
        <f>'Entrada de Dados'!D217</f>
        <v/>
      </c>
      <c r="C7" s="303">
        <f>'Entrada de Dados'!D243</f>
        <v/>
      </c>
      <c r="D7" s="304" t="n"/>
      <c r="E7" s="415">
        <f>C7-D7</f>
        <v/>
      </c>
      <c r="F7" s="303">
        <f>'Entrada de Dados'!D2-3.67</f>
        <v/>
      </c>
      <c r="G7" s="303">
        <f>E7*F7</f>
        <v/>
      </c>
      <c r="H7" s="305" t="n"/>
      <c r="I7" s="353">
        <f>IF(H7="","",LOOKUP(H7,MOTIVO!$A$4:$A$23,MOTIVO!$B$4:$B$23))</f>
        <v/>
      </c>
    </row>
    <row r="8" ht="24" customHeight="1" s="163">
      <c r="A8" s="302" t="inlineStr">
        <is>
          <t>Agrião</t>
        </is>
      </c>
      <c r="B8" s="303">
        <f>'Entrada de Dados'!E217</f>
        <v/>
      </c>
      <c r="C8" s="303">
        <f>'Entrada de Dados'!E243</f>
        <v/>
      </c>
      <c r="D8" s="304" t="n"/>
      <c r="E8" s="415">
        <f>C8-D8</f>
        <v/>
      </c>
      <c r="F8" s="303">
        <f>'Entrada de Dados'!E2-3.67</f>
        <v/>
      </c>
      <c r="G8" s="303">
        <f>E8*F8</f>
        <v/>
      </c>
      <c r="H8" s="305" t="n"/>
      <c r="I8" s="353">
        <f>IF(H8="","",LOOKUP(H8,MOTIVO!$A$4:$A$23,MOTIVO!$B$4:$B$23))</f>
        <v/>
      </c>
    </row>
    <row r="9" ht="24" customHeight="1" s="163">
      <c r="A9" s="307" t="inlineStr">
        <is>
          <t>Alface lisa</t>
        </is>
      </c>
      <c r="B9" s="303">
        <f>'Entrada de Dados'!F217</f>
        <v/>
      </c>
      <c r="C9" s="303">
        <f>'Entrada de Dados'!F243</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Dados'!G217</f>
        <v/>
      </c>
      <c r="C10" s="303">
        <f>'Entrada de Dados'!G243</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Dados'!H217</f>
        <v/>
      </c>
      <c r="C11" s="303">
        <f>'Entrada de Dados'!H243</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Dados'!I217</f>
        <v/>
      </c>
      <c r="C12" s="303">
        <f>'Entrada de Dados'!I243</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Dados'!J217</f>
        <v/>
      </c>
      <c r="C13" s="303">
        <f>'Entrada de Dados'!J243</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Dados'!K217</f>
        <v/>
      </c>
      <c r="C14" s="303">
        <f>'Entrada de Dados'!K243</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Dados'!L217</f>
        <v/>
      </c>
      <c r="C15" s="303">
        <f>'Entrada de Dados'!L243</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Dados'!M217</f>
        <v/>
      </c>
      <c r="C16" s="303">
        <f>'Entrada de Dados'!M243</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Dados'!N217</f>
        <v/>
      </c>
      <c r="C17" s="303">
        <f>'Entrada de Dados'!N243</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Dados'!O217</f>
        <v/>
      </c>
      <c r="C18" s="303">
        <f>'Entrada de Dados'!O243</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Dados'!P217</f>
        <v/>
      </c>
      <c r="C19" s="303">
        <f>'Entrada de Dados'!P243</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Dados'!Q217</f>
        <v/>
      </c>
      <c r="C20" s="303">
        <f>'Entrada de Dados'!Q243</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Dados'!R217</f>
        <v/>
      </c>
      <c r="C21" s="303">
        <f>'Entrada de Dados'!R243</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Dados'!S217</f>
        <v/>
      </c>
      <c r="C22" s="303">
        <f>'Entrada de Dados'!S243</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Dados'!T217</f>
        <v/>
      </c>
      <c r="C23" s="303">
        <f>'Entrada de Dados'!T243</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Dados'!U217</f>
        <v/>
      </c>
      <c r="C24" s="303">
        <f>'Entrada de Dados'!U243</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8.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Marcos Marcelo Delgado</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Dados'!C218</f>
        <v/>
      </c>
      <c r="C6" s="303">
        <f>'Entrada de Dados'!C244</f>
        <v/>
      </c>
      <c r="D6" s="304" t="n"/>
      <c r="E6" s="415">
        <f>C6-D6</f>
        <v/>
      </c>
      <c r="F6" s="303">
        <f>'Entrada de Dados'!C2-3.67</f>
        <v/>
      </c>
      <c r="G6" s="303">
        <f>E6*F6</f>
        <v/>
      </c>
      <c r="H6" s="305" t="n"/>
      <c r="I6" s="353">
        <f>IF(H6="","",LOOKUP(H6,MOTIVO!$A$4:$A$23,MOTIVO!$B$4:$B$23))</f>
        <v/>
      </c>
    </row>
    <row r="7" ht="24" customHeight="1" s="163">
      <c r="A7" s="307" t="inlineStr">
        <is>
          <t>Abobrinha</t>
        </is>
      </c>
      <c r="B7" s="303">
        <f>'Entrada de Dados'!D218</f>
        <v/>
      </c>
      <c r="C7" s="303">
        <f>'Entrada de Dados'!D244</f>
        <v/>
      </c>
      <c r="D7" s="304" t="n"/>
      <c r="E7" s="415">
        <f>C7-D7</f>
        <v/>
      </c>
      <c r="F7" s="303">
        <f>'Entrada de Dados'!D2-3.67</f>
        <v/>
      </c>
      <c r="G7" s="303">
        <f>E7*F7</f>
        <v/>
      </c>
      <c r="H7" s="305" t="n"/>
      <c r="I7" s="353">
        <f>IF(H7="","",LOOKUP(H7,MOTIVO!$A$4:$A$23,MOTIVO!$B$4:$B$23))</f>
        <v/>
      </c>
    </row>
    <row r="8" ht="24" customHeight="1" s="163">
      <c r="A8" s="302" t="inlineStr">
        <is>
          <t>Agrião</t>
        </is>
      </c>
      <c r="B8" s="303">
        <f>'Entrada de Dados'!E218</f>
        <v/>
      </c>
      <c r="C8" s="303">
        <f>'Entrada de Dados'!E244</f>
        <v/>
      </c>
      <c r="D8" s="304" t="n"/>
      <c r="E8" s="415">
        <f>C8-D8</f>
        <v/>
      </c>
      <c r="F8" s="303">
        <f>'Entrada de Dados'!E2-3.67</f>
        <v/>
      </c>
      <c r="G8" s="303">
        <f>E8*F8</f>
        <v/>
      </c>
      <c r="H8" s="305" t="n"/>
      <c r="I8" s="353">
        <f>IF(H8="","",LOOKUP(H8,MOTIVO!$A$4:$A$23,MOTIVO!$B$4:$B$23))</f>
        <v/>
      </c>
    </row>
    <row r="9" ht="24" customHeight="1" s="163">
      <c r="A9" s="307" t="inlineStr">
        <is>
          <t>Alface lisa</t>
        </is>
      </c>
      <c r="B9" s="303">
        <f>'Entrada de Dados'!F218</f>
        <v/>
      </c>
      <c r="C9" s="303">
        <f>'Entrada de Dados'!F244</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Dados'!G218</f>
        <v/>
      </c>
      <c r="C10" s="303">
        <f>'Entrada de Dados'!G244</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Dados'!H218</f>
        <v/>
      </c>
      <c r="C11" s="303">
        <f>'Entrada de Dados'!H244</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Dados'!I218</f>
        <v/>
      </c>
      <c r="C12" s="303">
        <f>'Entrada de Dados'!I244</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Dados'!J218</f>
        <v/>
      </c>
      <c r="C13" s="303">
        <f>'Entrada de Dados'!J244</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Dados'!K218</f>
        <v/>
      </c>
      <c r="C14" s="303">
        <f>'Entrada de Dados'!K244</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Dados'!L218</f>
        <v/>
      </c>
      <c r="C15" s="303">
        <f>'Entrada de Dados'!L244</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Dados'!M218</f>
        <v/>
      </c>
      <c r="C16" s="303">
        <f>'Entrada de Dados'!M244</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Dados'!N218</f>
        <v/>
      </c>
      <c r="C17" s="303">
        <f>'Entrada de Dados'!N244</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Dados'!O218</f>
        <v/>
      </c>
      <c r="C18" s="303">
        <f>'Entrada de Dados'!O244</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Dados'!P218</f>
        <v/>
      </c>
      <c r="C19" s="303">
        <f>'Entrada de Dados'!P244</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Dados'!Q218</f>
        <v/>
      </c>
      <c r="C20" s="303">
        <f>'Entrada de Dados'!Q244</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Dados'!R218</f>
        <v/>
      </c>
      <c r="C21" s="303">
        <f>'Entrada de Dados'!R244</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Dados'!S218</f>
        <v/>
      </c>
      <c r="C22" s="303">
        <f>'Entrada de Dados'!S244</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Dados'!T218</f>
        <v/>
      </c>
      <c r="C23" s="303">
        <f>'Entrada de Dados'!T244</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Dados'!U218</f>
        <v/>
      </c>
      <c r="C24" s="303">
        <f>'Entrada de Dados'!U244</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19.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Miguel Fernando de Almeida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Dados'!C219</f>
        <v/>
      </c>
      <c r="C6" s="303">
        <f>'Entrada de Dados'!C245</f>
        <v/>
      </c>
      <c r="D6" s="304" t="n"/>
      <c r="E6" s="415">
        <f>C6-D6</f>
        <v/>
      </c>
      <c r="F6" s="303">
        <f>'Entrada de Dados'!C2-3.67</f>
        <v/>
      </c>
      <c r="G6" s="303">
        <f>E6*F6</f>
        <v/>
      </c>
      <c r="H6" s="305" t="n"/>
      <c r="I6" s="353">
        <f>IF(H6="","",LOOKUP(H6,MOTIVO!$A$4:$A$23,MOTIVO!$B$4:$B$23))</f>
        <v/>
      </c>
    </row>
    <row r="7" ht="24" customHeight="1" s="163">
      <c r="A7" s="307" t="inlineStr">
        <is>
          <t>Abobrinha</t>
        </is>
      </c>
      <c r="B7" s="303">
        <f>'Entrada de Dados'!D219</f>
        <v/>
      </c>
      <c r="C7" s="303">
        <f>'Entrada de Dados'!D245</f>
        <v/>
      </c>
      <c r="D7" s="304" t="n"/>
      <c r="E7" s="415">
        <f>C7-D7</f>
        <v/>
      </c>
      <c r="F7" s="303">
        <f>'Entrada de Dados'!D2-3.67</f>
        <v/>
      </c>
      <c r="G7" s="303">
        <f>E7*F7</f>
        <v/>
      </c>
      <c r="H7" s="305" t="n"/>
      <c r="I7" s="353">
        <f>IF(H7="","",LOOKUP(H7,MOTIVO!$A$4:$A$23,MOTIVO!$B$4:$B$23))</f>
        <v/>
      </c>
    </row>
    <row r="8" ht="24" customHeight="1" s="163">
      <c r="A8" s="302" t="inlineStr">
        <is>
          <t>Agrião</t>
        </is>
      </c>
      <c r="B8" s="303">
        <f>'Entrada de Dados'!E219</f>
        <v/>
      </c>
      <c r="C8" s="303">
        <f>'Entrada de Dados'!E245</f>
        <v/>
      </c>
      <c r="D8" s="304" t="n"/>
      <c r="E8" s="415">
        <f>C8-D8</f>
        <v/>
      </c>
      <c r="F8" s="303">
        <f>'Entrada de Dados'!E2-3.67</f>
        <v/>
      </c>
      <c r="G8" s="303">
        <f>E8*F8</f>
        <v/>
      </c>
      <c r="H8" s="305" t="n"/>
      <c r="I8" s="353">
        <f>IF(H8="","",LOOKUP(H8,MOTIVO!$A$4:$A$23,MOTIVO!$B$4:$B$23))</f>
        <v/>
      </c>
    </row>
    <row r="9" ht="24" customHeight="1" s="163">
      <c r="A9" s="307" t="inlineStr">
        <is>
          <t>Alface lisa</t>
        </is>
      </c>
      <c r="B9" s="303">
        <f>'Entrada de Dados'!F219</f>
        <v/>
      </c>
      <c r="C9" s="303">
        <f>'Entrada de Dados'!F245</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Dados'!G219</f>
        <v/>
      </c>
      <c r="C10" s="303">
        <f>'Entrada de Dados'!G245</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Dados'!H219</f>
        <v/>
      </c>
      <c r="C11" s="303">
        <f>'Entrada de Dados'!H245</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Dados'!I219</f>
        <v/>
      </c>
      <c r="C12" s="303">
        <f>'Entrada de Dados'!I245</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Dados'!J219</f>
        <v/>
      </c>
      <c r="C13" s="303">
        <f>'Entrada de Dados'!J245</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Dados'!K219</f>
        <v/>
      </c>
      <c r="C14" s="303">
        <f>'Entrada de Dados'!K245</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Dados'!L219</f>
        <v/>
      </c>
      <c r="C15" s="303">
        <f>'Entrada de Dados'!L245</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Dados'!M219</f>
        <v/>
      </c>
      <c r="C16" s="303">
        <f>'Entrada de Dados'!M245</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Dados'!N219</f>
        <v/>
      </c>
      <c r="C17" s="303">
        <f>'Entrada de Dados'!N245</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Dados'!O219</f>
        <v/>
      </c>
      <c r="C18" s="303">
        <f>'Entrada de Dados'!O245</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Dados'!P219</f>
        <v/>
      </c>
      <c r="C19" s="303">
        <f>'Entrada de Dados'!P245</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Dados'!Q219</f>
        <v/>
      </c>
      <c r="C20" s="303">
        <f>'Entrada de Dados'!Q245</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Dados'!R219</f>
        <v/>
      </c>
      <c r="C21" s="303">
        <f>'Entrada de Dados'!R245</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Dados'!S219</f>
        <v/>
      </c>
      <c r="C22" s="303">
        <f>'Entrada de Dados'!S245</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Dados'!T219</f>
        <v/>
      </c>
      <c r="C23" s="303">
        <f>'Entrada de Dados'!T245</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Dados'!U219</f>
        <v/>
      </c>
      <c r="C24" s="303">
        <f>'Entrada de Dados'!U245</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20.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Nilson Ferreira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Dados'!C220</f>
        <v/>
      </c>
      <c r="C6" s="303">
        <f>'Entrada de Dados'!C246</f>
        <v/>
      </c>
      <c r="D6" s="304" t="n"/>
      <c r="E6" s="415">
        <f>C6-D6</f>
        <v/>
      </c>
      <c r="F6" s="303">
        <f>'Entrada de Dados'!C2-3.67</f>
        <v/>
      </c>
      <c r="G6" s="303">
        <f>E6*F6</f>
        <v/>
      </c>
      <c r="H6" s="305" t="n"/>
      <c r="I6" s="353">
        <f>IF(H6="","",LOOKUP(H6,MOTIVO!$A$4:$A$23,MOTIVO!$B$4:$B$23))</f>
        <v/>
      </c>
    </row>
    <row r="7" ht="24" customHeight="1" s="163">
      <c r="A7" s="307" t="inlineStr">
        <is>
          <t>Abobrinha</t>
        </is>
      </c>
      <c r="B7" s="303">
        <f>'Entrada de Dados'!D220</f>
        <v/>
      </c>
      <c r="C7" s="303">
        <f>'Entrada de Dados'!D246</f>
        <v/>
      </c>
      <c r="D7" s="304" t="n"/>
      <c r="E7" s="415">
        <f>C7-D7</f>
        <v/>
      </c>
      <c r="F7" s="303">
        <f>'Entrada de Dados'!D2-3.67</f>
        <v/>
      </c>
      <c r="G7" s="303">
        <f>E7*F7</f>
        <v/>
      </c>
      <c r="H7" s="305" t="n"/>
      <c r="I7" s="353">
        <f>IF(H7="","",LOOKUP(H7,MOTIVO!$A$4:$A$23,MOTIVO!$B$4:$B$23))</f>
        <v/>
      </c>
    </row>
    <row r="8" ht="24" customHeight="1" s="163">
      <c r="A8" s="302" t="inlineStr">
        <is>
          <t>Agrião</t>
        </is>
      </c>
      <c r="B8" s="303">
        <f>'Entrada de Dados'!E220</f>
        <v/>
      </c>
      <c r="C8" s="303">
        <f>'Entrada de Dados'!E246</f>
        <v/>
      </c>
      <c r="D8" s="304" t="n"/>
      <c r="E8" s="415">
        <f>C8-D8</f>
        <v/>
      </c>
      <c r="F8" s="303">
        <f>'Entrada de Dados'!E2-3.67</f>
        <v/>
      </c>
      <c r="G8" s="303">
        <f>E8*F8</f>
        <v/>
      </c>
      <c r="H8" s="305" t="n"/>
      <c r="I8" s="353">
        <f>IF(H8="","",LOOKUP(H8,MOTIVO!$A$4:$A$23,MOTIVO!$B$4:$B$23))</f>
        <v/>
      </c>
    </row>
    <row r="9" ht="24" customHeight="1" s="163">
      <c r="A9" s="307" t="inlineStr">
        <is>
          <t>Alface lisa</t>
        </is>
      </c>
      <c r="B9" s="303">
        <f>'Entrada de Dados'!F220</f>
        <v/>
      </c>
      <c r="C9" s="303">
        <f>'Entrada de Dados'!F246</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Dados'!G220</f>
        <v/>
      </c>
      <c r="C10" s="303">
        <f>'Entrada de Dados'!G246</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Dados'!H220</f>
        <v/>
      </c>
      <c r="C11" s="303">
        <f>'Entrada de Dados'!H246</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Dados'!I220</f>
        <v/>
      </c>
      <c r="C12" s="303">
        <f>'Entrada de Dados'!I246</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Dados'!J220</f>
        <v/>
      </c>
      <c r="C13" s="303">
        <f>'Entrada de Dados'!J246</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Dados'!K220</f>
        <v/>
      </c>
      <c r="C14" s="303">
        <f>'Entrada de Dados'!K246</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Dados'!L220</f>
        <v/>
      </c>
      <c r="C15" s="303">
        <f>'Entrada de Dados'!L246</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Dados'!M220</f>
        <v/>
      </c>
      <c r="C16" s="303">
        <f>'Entrada de Dados'!M246</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Dados'!N220</f>
        <v/>
      </c>
      <c r="C17" s="303">
        <f>'Entrada de Dados'!N246</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Dados'!O220</f>
        <v/>
      </c>
      <c r="C18" s="303">
        <f>'Entrada de Dados'!O246</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Dados'!P220</f>
        <v/>
      </c>
      <c r="C19" s="303">
        <f>'Entrada de Dados'!P246</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Dados'!Q220</f>
        <v/>
      </c>
      <c r="C20" s="303">
        <f>'Entrada de Dados'!Q246</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Dados'!R220</f>
        <v/>
      </c>
      <c r="C21" s="303">
        <f>'Entrada de Dados'!R246</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Dados'!S220</f>
        <v/>
      </c>
      <c r="C22" s="303">
        <f>'Entrada de Dados'!S246</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Dados'!T220</f>
        <v/>
      </c>
      <c r="C23" s="303">
        <f>'Entrada de Dados'!T246</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Dados'!U220</f>
        <v/>
      </c>
      <c r="C24" s="303">
        <f>'Entrada de Dados'!U246</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21.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Renato Jose da Silva</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Dados'!C221</f>
        <v/>
      </c>
      <c r="C6" s="303">
        <f>'Entrada de Dados'!C247</f>
        <v/>
      </c>
      <c r="D6" s="304" t="n"/>
      <c r="E6" s="415">
        <f>C6-D6</f>
        <v/>
      </c>
      <c r="F6" s="303">
        <f>'Entrada de Dados'!C2-3.67</f>
        <v/>
      </c>
      <c r="G6" s="303">
        <f>E6*F6</f>
        <v/>
      </c>
      <c r="H6" s="305" t="n"/>
      <c r="I6" s="353">
        <f>IF(H6="","",LOOKUP(H6,MOTIVO!$A$4:$A$23,MOTIVO!$B$4:$B$23))</f>
        <v/>
      </c>
    </row>
    <row r="7" ht="24" customHeight="1" s="163">
      <c r="A7" s="307" t="inlineStr">
        <is>
          <t>Abobrinha</t>
        </is>
      </c>
      <c r="B7" s="303">
        <f>'Entrada de Dados'!D221</f>
        <v/>
      </c>
      <c r="C7" s="303">
        <f>'Entrada de Dados'!D247</f>
        <v/>
      </c>
      <c r="D7" s="304" t="n"/>
      <c r="E7" s="415">
        <f>C7-D7</f>
        <v/>
      </c>
      <c r="F7" s="303">
        <f>'Entrada de Dados'!D2-3.67</f>
        <v/>
      </c>
      <c r="G7" s="303">
        <f>E7*F7</f>
        <v/>
      </c>
      <c r="H7" s="305" t="n"/>
      <c r="I7" s="353">
        <f>IF(H7="","",LOOKUP(H7,MOTIVO!$A$4:$A$23,MOTIVO!$B$4:$B$23))</f>
        <v/>
      </c>
    </row>
    <row r="8" ht="24" customHeight="1" s="163">
      <c r="A8" s="302" t="inlineStr">
        <is>
          <t>Agrião</t>
        </is>
      </c>
      <c r="B8" s="303">
        <f>'Entrada de Dados'!E221</f>
        <v/>
      </c>
      <c r="C8" s="303">
        <f>'Entrada de Dados'!E247</f>
        <v/>
      </c>
      <c r="D8" s="304" t="n"/>
      <c r="E8" s="415">
        <f>C8-D8</f>
        <v/>
      </c>
      <c r="F8" s="303">
        <f>'Entrada de Dados'!E2-3.67</f>
        <v/>
      </c>
      <c r="G8" s="303">
        <f>E8*F8</f>
        <v/>
      </c>
      <c r="H8" s="305" t="n"/>
      <c r="I8" s="353">
        <f>IF(H8="","",LOOKUP(H8,MOTIVO!$A$4:$A$23,MOTIVO!$B$4:$B$23))</f>
        <v/>
      </c>
    </row>
    <row r="9" ht="24" customHeight="1" s="163">
      <c r="A9" s="307" t="inlineStr">
        <is>
          <t>Alface lisa</t>
        </is>
      </c>
      <c r="B9" s="303">
        <f>'Entrada de Dados'!F221</f>
        <v/>
      </c>
      <c r="C9" s="303">
        <f>'Entrada de Dados'!F247</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Dados'!G221</f>
        <v/>
      </c>
      <c r="C10" s="303">
        <f>'Entrada de Dados'!G247</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Dados'!H221</f>
        <v/>
      </c>
      <c r="C11" s="303">
        <f>'Entrada de Dados'!H247</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Dados'!I221</f>
        <v/>
      </c>
      <c r="C12" s="303">
        <f>'Entrada de Dados'!I247</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Dados'!J221</f>
        <v/>
      </c>
      <c r="C13" s="303">
        <f>'Entrada de Dados'!J247</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Dados'!K221</f>
        <v/>
      </c>
      <c r="C14" s="303">
        <f>'Entrada de Dados'!K247</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Dados'!L221</f>
        <v/>
      </c>
      <c r="C15" s="303">
        <f>'Entrada de Dados'!L247</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Dados'!M221</f>
        <v/>
      </c>
      <c r="C16" s="303">
        <f>'Entrada de Dados'!M247</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Dados'!N221</f>
        <v/>
      </c>
      <c r="C17" s="303">
        <f>'Entrada de Dados'!N247</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Dados'!O221</f>
        <v/>
      </c>
      <c r="C18" s="303">
        <f>'Entrada de Dados'!O247</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Dados'!P221</f>
        <v/>
      </c>
      <c r="C19" s="303">
        <f>'Entrada de Dados'!P247</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Dados'!Q221</f>
        <v/>
      </c>
      <c r="C20" s="303">
        <f>'Entrada de Dados'!Q247</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Dados'!R221</f>
        <v/>
      </c>
      <c r="C21" s="303">
        <f>'Entrada de Dados'!R247</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Dados'!S221</f>
        <v/>
      </c>
      <c r="C22" s="303">
        <f>'Entrada de Dados'!S247</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Dados'!T221</f>
        <v/>
      </c>
      <c r="C23" s="303">
        <f>'Entrada de Dados'!T247</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Dados'!U221</f>
        <v/>
      </c>
      <c r="C24" s="303">
        <f>'Entrada de Dados'!U247</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22.xml><?xml version="1.0" encoding="utf-8"?>
<worksheet xmlns="http://schemas.openxmlformats.org/spreadsheetml/2006/main">
  <sheetPr filterMode="1">
    <outlinePr summaryBelow="1" summaryRight="1"/>
    <pageSetUpPr fitToPage="1"/>
  </sheetPr>
  <dimension ref="A1:J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4" customWidth="1" style="162" min="1" max="2"/>
    <col width="12" customWidth="1" style="163" min="2" max="2"/>
    <col width="12" customWidth="1" style="162" min="3" max="6"/>
    <col width="13" customWidth="1" style="163" min="4" max="4"/>
    <col width="13" customWidth="1" style="163" min="5" max="5"/>
    <col width="14" customWidth="1" style="163" min="6" max="6"/>
    <col width="16" customWidth="1" style="162" min="7" max="7"/>
    <col hidden="1" width="26" customWidth="1" style="162" min="8" max="8"/>
    <col hidden="1" width="13" customWidth="1" style="163" min="9" max="9"/>
  </cols>
  <sheetData>
    <row r="1" ht="25.5" customHeight="1" s="163">
      <c r="A1" s="278" t="inlineStr">
        <is>
          <t>CONTROLE DE ENTREGA — PRODUTOR</t>
        </is>
      </c>
      <c r="H1" s="204" t="n"/>
      <c r="I1" s="204" t="n"/>
      <c r="J1" s="204">
        <f>HYPERLINK("#'ÍNDICE'!A1","◄ Voltar ao Índice")</f>
        <v/>
      </c>
    </row>
    <row r="2" ht="19.5" customHeight="1" s="163">
      <c r="A2" s="279" t="inlineStr">
        <is>
          <t>NOME DO PRODUTOR</t>
        </is>
      </c>
      <c r="B2" s="296" t="inlineStr">
        <is>
          <t>Rodolfo Azevedo de Andrade</t>
        </is>
      </c>
      <c r="C2" s="297" t="n"/>
      <c r="D2" s="297" t="n"/>
      <c r="E2" s="297" t="n"/>
      <c r="F2" s="297" t="n"/>
      <c r="G2" s="298" t="n"/>
    </row>
    <row r="3" ht="16" customHeight="1" s="163">
      <c r="A3" s="279" t="inlineStr">
        <is>
          <t>TELEFONE</t>
        </is>
      </c>
      <c r="B3" s="280" t="n"/>
      <c r="C3" s="299" t="n"/>
      <c r="D3" s="299" t="n"/>
      <c r="E3" s="299" t="n"/>
      <c r="F3" s="299" t="n"/>
      <c r="G3" s="281" t="n"/>
    </row>
    <row r="4" ht="16" customHeight="1" s="163">
      <c r="A4" s="351" t="inlineStr">
        <is>
          <t>CICLO (SEMANA)</t>
        </is>
      </c>
      <c r="B4" s="352" t="n"/>
    </row>
    <row r="5" ht="33.75" customHeight="1" s="163">
      <c r="A5" s="300" t="inlineStr">
        <is>
          <t>PRODUTO</t>
        </is>
      </c>
      <c r="B5" s="300" t="inlineStr">
        <is>
          <t>PEDIDO (kg)</t>
        </is>
      </c>
      <c r="C5" s="301" t="inlineStr">
        <is>
          <t>ENTREGA (kg)</t>
        </is>
      </c>
      <c r="D5" s="300" t="inlineStr">
        <is>
          <t>DEVOLUÇÃO (kg)</t>
        </is>
      </c>
      <c r="E5" s="300" t="inlineStr">
        <is>
          <t>ACEITO (kg)</t>
        </is>
      </c>
      <c r="F5" s="300" t="inlineStr">
        <is>
          <t>PREÇO LÍQUIDO</t>
        </is>
      </c>
      <c r="G5" s="300" t="inlineStr">
        <is>
          <t>VALOR A PAGAR
(R$)</t>
        </is>
      </c>
      <c r="H5" s="300" t="inlineStr">
        <is>
          <t>CÓD. MOTIVO</t>
        </is>
      </c>
      <c r="I5" s="348" t="inlineStr">
        <is>
          <t>MOTIVO DA DEVOLUÇÃO</t>
        </is>
      </c>
    </row>
    <row r="6" ht="24" customHeight="1" s="163">
      <c r="A6" s="302" t="inlineStr">
        <is>
          <t>Abacate</t>
        </is>
      </c>
      <c r="B6" s="303">
        <f>'Entrada de Dados'!C222</f>
        <v/>
      </c>
      <c r="C6" s="303">
        <f>'Entrada de Dados'!C248</f>
        <v/>
      </c>
      <c r="D6" s="304" t="n"/>
      <c r="E6" s="415">
        <f>C6-D6</f>
        <v/>
      </c>
      <c r="F6" s="303">
        <f>'Entrada de Dados'!C2-3.67</f>
        <v/>
      </c>
      <c r="G6" s="303">
        <f>E6*F6</f>
        <v/>
      </c>
      <c r="H6" s="305" t="n"/>
      <c r="I6" s="353">
        <f>IF(H6="","",LOOKUP(H6,MOTIVO!$A$4:$A$23,MOTIVO!$B$4:$B$23))</f>
        <v/>
      </c>
    </row>
    <row r="7" ht="24" customHeight="1" s="163">
      <c r="A7" s="307" t="inlineStr">
        <is>
          <t>Abobrinha</t>
        </is>
      </c>
      <c r="B7" s="303">
        <f>'Entrada de Dados'!D222</f>
        <v/>
      </c>
      <c r="C7" s="303">
        <f>'Entrada de Dados'!D248</f>
        <v/>
      </c>
      <c r="D7" s="304" t="n"/>
      <c r="E7" s="415">
        <f>C7-D7</f>
        <v/>
      </c>
      <c r="F7" s="303">
        <f>'Entrada de Dados'!D2-3.67</f>
        <v/>
      </c>
      <c r="G7" s="303">
        <f>E7*F7</f>
        <v/>
      </c>
      <c r="H7" s="305" t="n"/>
      <c r="I7" s="353">
        <f>IF(H7="","",LOOKUP(H7,MOTIVO!$A$4:$A$23,MOTIVO!$B$4:$B$23))</f>
        <v/>
      </c>
    </row>
    <row r="8" ht="24" customHeight="1" s="163">
      <c r="A8" s="302" t="inlineStr">
        <is>
          <t>Agrião</t>
        </is>
      </c>
      <c r="B8" s="303">
        <f>'Entrada de Dados'!E222</f>
        <v/>
      </c>
      <c r="C8" s="303">
        <f>'Entrada de Dados'!E248</f>
        <v/>
      </c>
      <c r="D8" s="304" t="n"/>
      <c r="E8" s="415">
        <f>C8-D8</f>
        <v/>
      </c>
      <c r="F8" s="303">
        <f>'Entrada de Dados'!E2-3.67</f>
        <v/>
      </c>
      <c r="G8" s="303">
        <f>E8*F8</f>
        <v/>
      </c>
      <c r="H8" s="305" t="n"/>
      <c r="I8" s="353">
        <f>IF(H8="","",LOOKUP(H8,MOTIVO!$A$4:$A$23,MOTIVO!$B$4:$B$23))</f>
        <v/>
      </c>
    </row>
    <row r="9" ht="24" customHeight="1" s="163">
      <c r="A9" s="307" t="inlineStr">
        <is>
          <t>Alface lisa</t>
        </is>
      </c>
      <c r="B9" s="303">
        <f>'Entrada de Dados'!F222</f>
        <v/>
      </c>
      <c r="C9" s="303">
        <f>'Entrada de Dados'!F248</f>
        <v/>
      </c>
      <c r="D9" s="304" t="n"/>
      <c r="E9" s="415">
        <f>C9-D9</f>
        <v/>
      </c>
      <c r="F9" s="303">
        <f>'Entrada de Dados'!F2-3.67</f>
        <v/>
      </c>
      <c r="G9" s="303">
        <f>E9*F9</f>
        <v/>
      </c>
      <c r="H9" s="305" t="n"/>
      <c r="I9" s="353">
        <f>IF(H9="","",LOOKUP(H9,MOTIVO!$A$4:$A$23,MOTIVO!$B$4:$B$23))</f>
        <v/>
      </c>
    </row>
    <row r="10" ht="24" customHeight="1" s="163">
      <c r="A10" s="302" t="inlineStr">
        <is>
          <t>Banana prata</t>
        </is>
      </c>
      <c r="B10" s="303">
        <f>'Entrada de Dados'!G222</f>
        <v/>
      </c>
      <c r="C10" s="303">
        <f>'Entrada de Dados'!G248</f>
        <v/>
      </c>
      <c r="D10" s="304" t="n"/>
      <c r="E10" s="415">
        <f>C10-D10</f>
        <v/>
      </c>
      <c r="F10" s="303">
        <f>'Entrada de Dados'!G2-3.67</f>
        <v/>
      </c>
      <c r="G10" s="303">
        <f>E10*F10</f>
        <v/>
      </c>
      <c r="H10" s="305" t="n"/>
      <c r="I10" s="353">
        <f>IF(H10="","",LOOKUP(H10,MOTIVO!$A$4:$A$23,MOTIVO!$B$4:$B$23))</f>
        <v/>
      </c>
    </row>
    <row r="11" ht="24" customHeight="1" s="163">
      <c r="A11" s="307" t="inlineStr">
        <is>
          <t>Batata inglesa</t>
        </is>
      </c>
      <c r="B11" s="303">
        <f>'Entrada de Dados'!H222</f>
        <v/>
      </c>
      <c r="C11" s="303">
        <f>'Entrada de Dados'!H248</f>
        <v/>
      </c>
      <c r="D11" s="304" t="n"/>
      <c r="E11" s="415">
        <f>C11-D11</f>
        <v/>
      </c>
      <c r="F11" s="303">
        <f>'Entrada de Dados'!H2-3.67</f>
        <v/>
      </c>
      <c r="G11" s="303">
        <f>E11*F11</f>
        <v/>
      </c>
      <c r="H11" s="305" t="n"/>
      <c r="I11" s="353">
        <f>IF(H11="","",LOOKUP(H11,MOTIVO!$A$4:$A$23,MOTIVO!$B$4:$B$23))</f>
        <v/>
      </c>
    </row>
    <row r="12" ht="24" customHeight="1" s="163">
      <c r="A12" s="302" t="inlineStr">
        <is>
          <t>Beterraba</t>
        </is>
      </c>
      <c r="B12" s="303">
        <f>'Entrada de Dados'!I222</f>
        <v/>
      </c>
      <c r="C12" s="303">
        <f>'Entrada de Dados'!I248</f>
        <v/>
      </c>
      <c r="D12" s="304" t="n"/>
      <c r="E12" s="415">
        <f>C12-D12</f>
        <v/>
      </c>
      <c r="F12" s="303">
        <f>'Entrada de Dados'!I2-3.67</f>
        <v/>
      </c>
      <c r="G12" s="303">
        <f>E12*F12</f>
        <v/>
      </c>
      <c r="H12" s="305" t="n"/>
      <c r="I12" s="353">
        <f>IF(H12="","",LOOKUP(H12,MOTIVO!$A$4:$A$23,MOTIVO!$B$4:$B$23))</f>
        <v/>
      </c>
    </row>
    <row r="13" ht="24" customHeight="1" s="163">
      <c r="A13" s="307" t="inlineStr">
        <is>
          <t>Brócolis</t>
        </is>
      </c>
      <c r="B13" s="303">
        <f>'Entrada de Dados'!J222</f>
        <v/>
      </c>
      <c r="C13" s="303">
        <f>'Entrada de Dados'!J248</f>
        <v/>
      </c>
      <c r="D13" s="304" t="n"/>
      <c r="E13" s="415">
        <f>C13-D13</f>
        <v/>
      </c>
      <c r="F13" s="303">
        <f>'Entrada de Dados'!J2-3.67</f>
        <v/>
      </c>
      <c r="G13" s="303">
        <f>E13*F13</f>
        <v/>
      </c>
      <c r="H13" s="305" t="n"/>
      <c r="I13" s="353">
        <f>IF(H13="","",LOOKUP(H13,MOTIVO!$A$4:$A$23,MOTIVO!$B$4:$B$23))</f>
        <v/>
      </c>
    </row>
    <row r="14" ht="24" customHeight="1" s="163">
      <c r="A14" s="302" t="inlineStr">
        <is>
          <t>Cenoura</t>
        </is>
      </c>
      <c r="B14" s="303">
        <f>'Entrada de Dados'!K222</f>
        <v/>
      </c>
      <c r="C14" s="303">
        <f>'Entrada de Dados'!K248</f>
        <v/>
      </c>
      <c r="D14" s="304" t="n"/>
      <c r="E14" s="415">
        <f>C14-D14</f>
        <v/>
      </c>
      <c r="F14" s="303">
        <f>'Entrada de Dados'!K2-3.67</f>
        <v/>
      </c>
      <c r="G14" s="303">
        <f>E14*F14</f>
        <v/>
      </c>
      <c r="H14" s="305" t="n"/>
      <c r="I14" s="353">
        <f>IF(H14="","",LOOKUP(H14,MOTIVO!$A$4:$A$23,MOTIVO!$B$4:$B$23))</f>
        <v/>
      </c>
    </row>
    <row r="15" ht="24" customHeight="1" s="163">
      <c r="A15" s="307" t="inlineStr">
        <is>
          <t>Cheiro verde</t>
        </is>
      </c>
      <c r="B15" s="303">
        <f>'Entrada de Dados'!L222</f>
        <v/>
      </c>
      <c r="C15" s="303">
        <f>'Entrada de Dados'!L248</f>
        <v/>
      </c>
      <c r="D15" s="304" t="n"/>
      <c r="E15" s="415">
        <f>C15-D15</f>
        <v/>
      </c>
      <c r="F15" s="303">
        <f>'Entrada de Dados'!L2-3.67</f>
        <v/>
      </c>
      <c r="G15" s="303">
        <f>E15*F15</f>
        <v/>
      </c>
      <c r="H15" s="305" t="n"/>
      <c r="I15" s="353">
        <f>IF(H15="","",LOOKUP(H15,MOTIVO!$A$4:$A$23,MOTIVO!$B$4:$B$23))</f>
        <v/>
      </c>
    </row>
    <row r="16" ht="24" customHeight="1" s="163">
      <c r="A16" s="302" t="inlineStr">
        <is>
          <t>Chuchu</t>
        </is>
      </c>
      <c r="B16" s="303">
        <f>'Entrada de Dados'!M222</f>
        <v/>
      </c>
      <c r="C16" s="303">
        <f>'Entrada de Dados'!M248</f>
        <v/>
      </c>
      <c r="D16" s="304" t="n"/>
      <c r="E16" s="415">
        <f>C16-D16</f>
        <v/>
      </c>
      <c r="F16" s="303">
        <f>'Entrada de Dados'!M2-3.67</f>
        <v/>
      </c>
      <c r="G16" s="303">
        <f>E16*F16</f>
        <v/>
      </c>
      <c r="H16" s="305" t="n"/>
      <c r="I16" s="353">
        <f>IF(H16="","",LOOKUP(H16,MOTIVO!$A$4:$A$23,MOTIVO!$B$4:$B$23))</f>
        <v/>
      </c>
    </row>
    <row r="17" ht="24" customHeight="1" s="163">
      <c r="A17" s="307" t="inlineStr">
        <is>
          <t>Couve manteiga</t>
        </is>
      </c>
      <c r="B17" s="303">
        <f>'Entrada de Dados'!N222</f>
        <v/>
      </c>
      <c r="C17" s="303">
        <f>'Entrada de Dados'!N248</f>
        <v/>
      </c>
      <c r="D17" s="304" t="n"/>
      <c r="E17" s="415">
        <f>C17-D17</f>
        <v/>
      </c>
      <c r="F17" s="303">
        <f>'Entrada de Dados'!N2-3.67</f>
        <v/>
      </c>
      <c r="G17" s="303">
        <f>E17*F17</f>
        <v/>
      </c>
      <c r="H17" s="305" t="n"/>
      <c r="I17" s="353">
        <f>IF(H17="","",LOOKUP(H17,MOTIVO!$A$4:$A$23,MOTIVO!$B$4:$B$23))</f>
        <v/>
      </c>
    </row>
    <row r="18" ht="24" customHeight="1" s="163">
      <c r="A18" s="302" t="inlineStr">
        <is>
          <t>Couve-flor</t>
        </is>
      </c>
      <c r="B18" s="303">
        <f>'Entrada de Dados'!O222</f>
        <v/>
      </c>
      <c r="C18" s="303">
        <f>'Entrada de Dados'!O248</f>
        <v/>
      </c>
      <c r="D18" s="304" t="n"/>
      <c r="E18" s="415">
        <f>C18-D18</f>
        <v/>
      </c>
      <c r="F18" s="303">
        <f>'Entrada de Dados'!O2-3.67</f>
        <v/>
      </c>
      <c r="G18" s="303">
        <f>E18*F18</f>
        <v/>
      </c>
      <c r="H18" s="305" t="n"/>
      <c r="I18" s="353">
        <f>IF(H18="","",LOOKUP(H18,MOTIVO!$A$4:$A$23,MOTIVO!$B$4:$B$23))</f>
        <v/>
      </c>
    </row>
    <row r="19" ht="24" customHeight="1" s="163">
      <c r="A19" s="307" t="inlineStr">
        <is>
          <t>Espinafre</t>
        </is>
      </c>
      <c r="B19" s="303">
        <f>'Entrada de Dados'!P222</f>
        <v/>
      </c>
      <c r="C19" s="303">
        <f>'Entrada de Dados'!P248</f>
        <v/>
      </c>
      <c r="D19" s="304" t="n"/>
      <c r="E19" s="415">
        <f>C19-D19</f>
        <v/>
      </c>
      <c r="F19" s="303">
        <f>'Entrada de Dados'!P2-3.67</f>
        <v/>
      </c>
      <c r="G19" s="303">
        <f>E19*F19</f>
        <v/>
      </c>
      <c r="H19" s="305" t="n"/>
      <c r="I19" s="353">
        <f>IF(H19="","",LOOKUP(H19,MOTIVO!$A$4:$A$23,MOTIVO!$B$4:$B$23))</f>
        <v/>
      </c>
    </row>
    <row r="20" ht="24" customHeight="1" s="163">
      <c r="A20" s="302" t="inlineStr">
        <is>
          <t>Maçã gala</t>
        </is>
      </c>
      <c r="B20" s="303">
        <f>'Entrada de Dados'!Q222</f>
        <v/>
      </c>
      <c r="C20" s="303">
        <f>'Entrada de Dados'!Q248</f>
        <v/>
      </c>
      <c r="D20" s="304" t="n"/>
      <c r="E20" s="415">
        <f>C20-D20</f>
        <v/>
      </c>
      <c r="F20" s="303">
        <f>'Entrada de Dados'!Q2-3.67</f>
        <v/>
      </c>
      <c r="G20" s="303">
        <f>E20*F20</f>
        <v/>
      </c>
      <c r="H20" s="305" t="n"/>
      <c r="I20" s="353">
        <f>IF(H20="","",LOOKUP(H20,MOTIVO!$A$4:$A$23,MOTIVO!$B$4:$B$23))</f>
        <v/>
      </c>
    </row>
    <row r="21" ht="24" customHeight="1" s="163">
      <c r="A21" s="307" t="inlineStr">
        <is>
          <t>Mel</t>
        </is>
      </c>
      <c r="B21" s="303">
        <f>'Entrada de Dados'!R222</f>
        <v/>
      </c>
      <c r="C21" s="303">
        <f>'Entrada de Dados'!R248</f>
        <v/>
      </c>
      <c r="D21" s="304" t="n"/>
      <c r="E21" s="415">
        <f>C21-D21</f>
        <v/>
      </c>
      <c r="F21" s="303">
        <f>'Entrada de Dados'!R2-3.67</f>
        <v/>
      </c>
      <c r="G21" s="303">
        <f>E21*F21</f>
        <v/>
      </c>
      <c r="H21" s="305" t="n"/>
      <c r="I21" s="353">
        <f>IF(H21="","",LOOKUP(H21,MOTIVO!$A$4:$A$23,MOTIVO!$B$4:$B$23))</f>
        <v/>
      </c>
    </row>
    <row r="22" hidden="1" ht="24" customHeight="1" s="163">
      <c r="A22" s="302" t="inlineStr">
        <is>
          <t>Ovos (dz)</t>
        </is>
      </c>
      <c r="B22" s="303">
        <f>'Entrada de Dados'!S222</f>
        <v/>
      </c>
      <c r="C22" s="303">
        <f>'Entrada de Dados'!S248</f>
        <v/>
      </c>
      <c r="D22" s="326" t="n"/>
      <c r="E22" s="415">
        <f>C22-D22</f>
        <v/>
      </c>
      <c r="F22" s="303">
        <f>'Entrada de Dados'!S2-3.67</f>
        <v/>
      </c>
      <c r="G22" s="303">
        <f>E22*F22</f>
        <v/>
      </c>
      <c r="H22" s="305" t="n"/>
      <c r="I22" s="353">
        <f>IF(H22="","",LOOKUP(H22,MOTIVO!$A$4:$A$23,MOTIVO!$B$4:$B$23))</f>
        <v/>
      </c>
    </row>
    <row r="23" ht="24" customHeight="1" s="163">
      <c r="A23" s="307" t="inlineStr">
        <is>
          <t>Repolho</t>
        </is>
      </c>
      <c r="B23" s="303">
        <f>'Entrada de Dados'!T222</f>
        <v/>
      </c>
      <c r="C23" s="303">
        <f>'Entrada de Dados'!T248</f>
        <v/>
      </c>
      <c r="D23" s="304" t="n"/>
      <c r="E23" s="415">
        <f>C23-D23</f>
        <v/>
      </c>
      <c r="F23" s="303">
        <f>'Entrada de Dados'!T2-3.67</f>
        <v/>
      </c>
      <c r="G23" s="303">
        <f>E23*F23</f>
        <v/>
      </c>
      <c r="H23" s="305" t="n"/>
      <c r="I23" s="353">
        <f>IF(H23="","",LOOKUP(H23,MOTIVO!$A$4:$A$23,MOTIVO!$B$4:$B$23))</f>
        <v/>
      </c>
    </row>
    <row r="24" ht="24" customHeight="1" s="163">
      <c r="A24" s="302" t="inlineStr">
        <is>
          <t>Tangerina ponkan</t>
        </is>
      </c>
      <c r="B24" s="303">
        <f>'Entrada de Dados'!U222</f>
        <v/>
      </c>
      <c r="C24" s="303">
        <f>'Entrada de Dados'!U248</f>
        <v/>
      </c>
      <c r="D24" s="304" t="n"/>
      <c r="E24" s="415">
        <f>C24-D24</f>
        <v/>
      </c>
      <c r="F24" s="303">
        <f>'Entrada de Dados'!U2-3.67</f>
        <v/>
      </c>
      <c r="G24" s="303">
        <f>E24*F24</f>
        <v/>
      </c>
      <c r="H24" s="305" t="n"/>
      <c r="I24" s="353">
        <f>IF(H24="","",LOOKUP(H24,MOTIVO!$A$4:$A$23,MOTIVO!$B$4:$B$23))</f>
        <v/>
      </c>
    </row>
    <row r="25" ht="24" customHeight="1" s="163">
      <c r="A25" s="385" t="inlineStr">
        <is>
          <t>TOTAL A PAGAR</t>
        </is>
      </c>
      <c r="B25" s="355" t="n"/>
      <c r="C25" s="355" t="n"/>
      <c r="D25" s="356" t="n"/>
      <c r="F25" s="357" t="n"/>
      <c r="G25" s="358">
        <f>SUM(G6:G24)</f>
        <v/>
      </c>
      <c r="H25" s="359" t="n"/>
      <c r="I25" s="359" t="n"/>
      <c r="J25" s="360" t="n"/>
    </row>
    <row r="26" ht="24" customHeight="1" s="163">
      <c r="A26" s="359" t="n"/>
      <c r="B26" s="359" t="n"/>
      <c r="C26" s="359" t="n"/>
      <c r="D26" s="359" t="n"/>
      <c r="F26" s="359" t="n"/>
      <c r="G26" s="359" t="n"/>
      <c r="H26" s="359" t="n"/>
      <c r="I26" s="359" t="n"/>
      <c r="J26" s="360" t="n"/>
    </row>
    <row r="27" ht="15" customHeight="1" s="163">
      <c r="A27" s="359" t="n"/>
      <c r="B27" s="360" t="n"/>
      <c r="C27" s="360" t="n"/>
      <c r="D27" s="360" t="n"/>
      <c r="F27" s="360" t="n"/>
      <c r="G27" s="360" t="n"/>
      <c r="H27" s="360" t="n"/>
      <c r="I27" s="360" t="n"/>
      <c r="J27" s="360" t="n"/>
    </row>
    <row r="28" ht="22" customHeight="1" s="163">
      <c r="A28" s="383" t="inlineStr">
        <is>
          <t>DATA DO RECEBIMENTO:</t>
        </is>
      </c>
      <c r="B28" s="360" t="n"/>
      <c r="C28" s="365" t="n"/>
      <c r="D28" s="294" t="n"/>
      <c r="F28" s="383" t="inlineStr">
        <is>
          <t>HORÁRIO: ____:____</t>
        </is>
      </c>
      <c r="G28" s="360" t="n"/>
      <c r="H28" s="360" t="n"/>
      <c r="I28" s="360" t="n"/>
      <c r="J28" s="360" t="n"/>
    </row>
    <row r="29">
      <c r="A29" s="360" t="n"/>
      <c r="B29" s="360" t="n"/>
      <c r="C29" s="360" t="n"/>
      <c r="D29" s="360" t="n"/>
      <c r="F29" s="360" t="n"/>
      <c r="G29" s="360" t="n"/>
      <c r="H29" s="360" t="n"/>
      <c r="I29" s="360" t="n"/>
      <c r="J29" s="360" t="n"/>
    </row>
    <row r="30">
      <c r="A30" s="383" t="inlineStr">
        <is>
          <t>ASSINATURA DO PRODUTOR OU RESPONSÁVEL PELA ENTREGA:</t>
        </is>
      </c>
      <c r="B30" s="360" t="n"/>
      <c r="C30" s="360" t="n"/>
      <c r="D30" s="360" t="n"/>
      <c r="F30" s="360" t="n"/>
      <c r="G30" s="360" t="n"/>
      <c r="H30" s="360" t="n"/>
      <c r="I30" s="360" t="n"/>
      <c r="J30" s="360" t="n"/>
    </row>
    <row r="31" ht="32" customHeight="1" s="163">
      <c r="A31" s="365" t="n"/>
      <c r="B31" s="294" t="n"/>
      <c r="C31" s="294" t="n"/>
      <c r="D31" s="294" t="n"/>
      <c r="E31" s="294" t="n"/>
      <c r="F31" s="294" t="n"/>
      <c r="G31" s="294" t="n"/>
      <c r="H31" s="294" t="n"/>
      <c r="I31" s="294" t="n"/>
      <c r="J31" s="360" t="n"/>
    </row>
    <row r="32">
      <c r="A32" s="360" t="n"/>
      <c r="B32" s="360" t="n"/>
      <c r="C32" s="360" t="n"/>
      <c r="D32" s="360" t="n"/>
      <c r="F32" s="360" t="n"/>
      <c r="G32" s="360" t="n"/>
      <c r="H32" s="360" t="n"/>
      <c r="I32" s="360" t="n"/>
      <c r="J32" s="360" t="n"/>
    </row>
    <row r="33">
      <c r="A33" s="360" t="n"/>
      <c r="B33" s="360" t="n"/>
      <c r="C33" s="360" t="n"/>
      <c r="D33" s="360" t="n"/>
      <c r="F33" s="360" t="n"/>
      <c r="G33" s="360" t="n"/>
      <c r="H33" s="360" t="n"/>
      <c r="I33" s="360" t="n"/>
      <c r="J33" s="360" t="n"/>
    </row>
  </sheetData>
  <sheetProtection selectLockedCells="0" selectUnlockedCells="0" sheet="1" objects="0" insertRows="1" insertHyperlinks="1" autoFilter="0" scenarios="0" formatColumns="1" deleteColumns="1" insertColumns="1" pivotTables="1" deleteRows="1" formatCells="1" formatRows="1" sort="1"/>
  <autoFilter ref="C5:C24">
    <filterColumn colId="0" hiddenButton="1" showButton="1"/>
  </autoFilter>
  <mergeCells count="5">
    <mergeCell ref="B3:G3"/>
    <mergeCell ref="B2:G2"/>
    <mergeCell ref="C28:D28"/>
    <mergeCell ref="A1:E1"/>
    <mergeCell ref="A31:H31"/>
  </mergeCells>
  <dataValidations count="1">
    <dataValidation sqref="D6:D24" showDropDown="0" showInputMessage="0" showErrorMessage="1" allowBlank="1" errorTitle="Devolução maior que a entrega" error="A devolução não pode ser negativa nem maior do que a quantidade entregue." type="custom" errorStyle="stop" operator="between">
      <formula1>AND(D6&gt;=0,D6&lt;=C6)</formula1>
      <formula2>0</formula2>
    </dataValidation>
  </dataValidations>
  <printOptions horizontalCentered="0" verticalCentered="0" headings="0" gridLines="0" gridLinesSet="1"/>
  <pageMargins left="0.5" right="0.5" top="0.9" bottom="0.6" header="0.4" footer="0.511811023622047"/>
  <pageSetup orientation="landscape" paperSize="9" scale="100" fitToHeight="1" fitToWidth="1" pageOrder="downThenOver" blackAndWhite="0" draft="0" horizontalDpi="300" verticalDpi="300" copies="1"/>
  <headerFooter differentOddEven="0" differentFirst="0">
    <oddHeader>&amp;C&amp;"Cambria,Bold"&amp;16 &amp;K2e7d32COOPERATIVA DOS PRODUTORES RURAIS DE PETRÓPOLIS</oddHeader>
    <oddFooter/>
    <evenHeader/>
    <evenFooter/>
    <firstHeader/>
    <firstFooter/>
  </headerFooter>
</worksheet>
</file>

<file path=xl/worksheets/sheet223.xml><?xml version="1.0" encoding="utf-8"?>
<worksheet xmlns="http://schemas.openxmlformats.org/spreadsheetml/2006/main">
  <sheetPr filterMode="0">
    <outlinePr summaryBelow="1" summaryRight="1"/>
    <pageSetUpPr fitToPage="0"/>
  </sheetPr>
  <dimension ref="A1:B2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0" customWidth="1" style="162" min="1" max="4"/>
  </cols>
  <sheetData>
    <row r="1" ht="15" customHeight="1" s="163">
      <c r="A1" s="312" t="inlineStr">
        <is>
          <t>PRODUTO</t>
        </is>
      </c>
      <c r="B1" s="312" t="inlineStr">
        <is>
          <t>TOTAL ACEITO NO GALPÃO (kg/dz)</t>
        </is>
      </c>
    </row>
    <row r="2" ht="15" customHeight="1" s="163">
      <c r="A2" s="313" t="inlineStr">
        <is>
          <t>Abacate</t>
        </is>
      </c>
      <c r="B2" s="314">
        <f>'Entrada de Dados'!C252</f>
        <v/>
      </c>
    </row>
    <row r="3" ht="15" customHeight="1" s="163">
      <c r="A3" s="315" t="inlineStr">
        <is>
          <t>Abobrinha</t>
        </is>
      </c>
      <c r="B3" s="316">
        <f>'Entrada de Dados'!D252</f>
        <v/>
      </c>
    </row>
    <row r="4" ht="15" customHeight="1" s="163">
      <c r="A4" s="313" t="inlineStr">
        <is>
          <t>Agrião</t>
        </is>
      </c>
      <c r="B4" s="314">
        <f>'Entrada de Dados'!E252</f>
        <v/>
      </c>
    </row>
    <row r="5" ht="15" customHeight="1" s="163">
      <c r="A5" s="315" t="inlineStr">
        <is>
          <t>Alface lisa</t>
        </is>
      </c>
      <c r="B5" s="316">
        <f>'Entrada de Dados'!F252</f>
        <v/>
      </c>
    </row>
    <row r="6" ht="15" customHeight="1" s="163">
      <c r="A6" s="313" t="inlineStr">
        <is>
          <t>Banana prata</t>
        </is>
      </c>
      <c r="B6" s="314">
        <f>'Entrada de Dados'!G252</f>
        <v/>
      </c>
    </row>
    <row r="7" ht="15" customHeight="1" s="163">
      <c r="A7" s="315" t="inlineStr">
        <is>
          <t>Batata inglesa</t>
        </is>
      </c>
      <c r="B7" s="316">
        <f>'Entrada de Dados'!H252</f>
        <v/>
      </c>
    </row>
    <row r="8" ht="15" customHeight="1" s="163">
      <c r="A8" s="313" t="inlineStr">
        <is>
          <t>Beterraba</t>
        </is>
      </c>
      <c r="B8" s="314">
        <f>'Entrada de Dados'!I252</f>
        <v/>
      </c>
    </row>
    <row r="9" ht="15" customHeight="1" s="163">
      <c r="A9" s="315" t="inlineStr">
        <is>
          <t>Brócolis</t>
        </is>
      </c>
      <c r="B9" s="316">
        <f>'Entrada de Dados'!J252</f>
        <v/>
      </c>
    </row>
    <row r="10" ht="15" customHeight="1" s="163">
      <c r="A10" s="313" t="inlineStr">
        <is>
          <t>Cenoura</t>
        </is>
      </c>
      <c r="B10" s="314">
        <f>'Entrada de Dados'!K252</f>
        <v/>
      </c>
    </row>
    <row r="11" ht="15" customHeight="1" s="163">
      <c r="A11" s="315" t="inlineStr">
        <is>
          <t>Cheiro verde</t>
        </is>
      </c>
      <c r="B11" s="316">
        <f>'Entrada de Dados'!L252</f>
        <v/>
      </c>
    </row>
    <row r="12" ht="15" customHeight="1" s="163">
      <c r="A12" s="313" t="inlineStr">
        <is>
          <t>Chuchu</t>
        </is>
      </c>
      <c r="B12" s="314">
        <f>'Entrada de Dados'!M252</f>
        <v/>
      </c>
    </row>
    <row r="13" ht="15" customHeight="1" s="163">
      <c r="A13" s="315" t="inlineStr">
        <is>
          <t>Couve manteiga</t>
        </is>
      </c>
      <c r="B13" s="316">
        <f>'Entrada de Dados'!N252</f>
        <v/>
      </c>
    </row>
    <row r="14" ht="15" customHeight="1" s="163">
      <c r="A14" s="313" t="inlineStr">
        <is>
          <t>Couve-flor</t>
        </is>
      </c>
      <c r="B14" s="314">
        <f>'Entrada de Dados'!O252</f>
        <v/>
      </c>
    </row>
    <row r="15" ht="15" customHeight="1" s="163">
      <c r="A15" s="315" t="inlineStr">
        <is>
          <t>Espinafre</t>
        </is>
      </c>
      <c r="B15" s="316">
        <f>'Entrada de Dados'!P252</f>
        <v/>
      </c>
    </row>
    <row r="16" ht="15" customHeight="1" s="163">
      <c r="A16" s="313" t="inlineStr">
        <is>
          <t>Maçã gala</t>
        </is>
      </c>
      <c r="B16" s="314">
        <f>'Entrada de Dados'!Q252</f>
        <v/>
      </c>
    </row>
    <row r="17" ht="15" customHeight="1" s="163">
      <c r="A17" s="315" t="inlineStr">
        <is>
          <t>Mel</t>
        </is>
      </c>
      <c r="B17" s="316">
        <f>'Entrada de Dados'!R252</f>
        <v/>
      </c>
    </row>
    <row r="18" hidden="1" ht="15" customHeight="1" s="163">
      <c r="A18" s="313" t="inlineStr">
        <is>
          <t>Ovos (dz)</t>
        </is>
      </c>
      <c r="B18" s="314">
        <f>'Entrada de Dados'!S252</f>
        <v/>
      </c>
    </row>
    <row r="19" ht="15" customHeight="1" s="163">
      <c r="A19" s="315" t="inlineStr">
        <is>
          <t>Repolho</t>
        </is>
      </c>
      <c r="B19" s="316">
        <f>'Entrada de Dados'!T252</f>
        <v/>
      </c>
    </row>
    <row r="20" ht="15" customHeight="1" s="163">
      <c r="A20" s="313" t="inlineStr">
        <is>
          <t>Tangerina ponkan</t>
        </is>
      </c>
      <c r="B20" s="314">
        <f>'Entrada de Dados'!U252</f>
        <v/>
      </c>
    </row>
  </sheetData>
  <sheetProtection selectLockedCells="0" selectUnlockedCells="0" sheet="1" objects="0" insertRows="1" insertHyperlinks="1" autoFilter="1"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4.xml><?xml version="1.0" encoding="utf-8"?>
<worksheet xmlns="http://schemas.openxmlformats.org/spreadsheetml/2006/main">
  <sheetPr filterMode="0">
    <outlinePr summaryBelow="1" summaryRight="1"/>
    <pageSetUpPr fitToPage="0"/>
  </sheetPr>
  <dimension ref="A1:J19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24" customWidth="1" style="162" min="1" max="1"/>
    <col width="14" customWidth="1" style="162" min="2" max="2"/>
    <col width="36" customWidth="1" style="162" min="4" max="4"/>
    <col width="55" customWidth="1" style="162" min="6" max="6"/>
    <col width="25" customWidth="1" style="162" min="7" max="7"/>
    <col width="12" customWidth="1" style="162" min="8" max="8"/>
    <col width="60" customWidth="1" style="162" min="9" max="9"/>
    <col width="30" customWidth="1" style="162" min="10" max="10"/>
  </cols>
  <sheetData>
    <row r="1" ht="15" customHeight="1" s="163">
      <c r="A1" s="317" t="inlineStr">
        <is>
          <t>PRODUTO</t>
        </is>
      </c>
      <c r="B1" s="317" t="inlineStr">
        <is>
          <t>PREÇO/KG</t>
        </is>
      </c>
      <c r="C1" s="317" t="n"/>
      <c r="D1" s="317" t="inlineStr">
        <is>
          <t>PRODUTOR</t>
        </is>
      </c>
      <c r="E1" s="317" t="n"/>
      <c r="F1" s="317" t="inlineStr">
        <is>
          <t>ESCOLA</t>
        </is>
      </c>
      <c r="G1" s="317" t="inlineStr">
        <is>
          <t>BAIRRO</t>
        </is>
      </c>
      <c r="H1" s="317" t="inlineStr">
        <is>
          <t>CÓDIGO</t>
        </is>
      </c>
      <c r="I1" s="317" t="inlineStr">
        <is>
          <t>ENDEREÇO</t>
        </is>
      </c>
      <c r="J1" s="317" t="inlineStr">
        <is>
          <t>TELEFONE</t>
        </is>
      </c>
    </row>
    <row r="2" ht="15" customHeight="1" s="163">
      <c r="A2" s="162" t="inlineStr">
        <is>
          <t>Abacate</t>
        </is>
      </c>
      <c r="B2" s="318" t="n">
        <v>15.57</v>
      </c>
      <c r="D2" s="162" t="inlineStr">
        <is>
          <t>Ana Claudia Correa Ruas de Souza</t>
        </is>
      </c>
      <c r="F2" s="162" t="inlineStr">
        <is>
          <t>E M ROTARY</t>
        </is>
      </c>
      <c r="G2" s="162" t="inlineStr">
        <is>
          <t>CENTRO</t>
        </is>
      </c>
      <c r="H2" s="162" t="inlineStr">
        <is>
          <t>1021</t>
        </is>
      </c>
      <c r="I2" s="162" t="inlineStr">
        <is>
          <t>RUA BARÃO DO RIO BRANCO, 1967 - CEP 25680-275</t>
        </is>
      </c>
      <c r="J2" s="162" t="inlineStr">
        <is>
          <t>(24) 2244-9148, (24) 98817-7903</t>
        </is>
      </c>
    </row>
    <row r="3" ht="15" customHeight="1" s="163">
      <c r="A3" s="162" t="inlineStr">
        <is>
          <t>Abobrinha</t>
        </is>
      </c>
      <c r="B3" s="318" t="n">
        <v>7.7</v>
      </c>
      <c r="D3" s="162" t="inlineStr">
        <is>
          <t>Anderson de Mello Quimas</t>
        </is>
      </c>
      <c r="F3" s="162" t="inlineStr">
        <is>
          <t>E M DE EDUCAÇÃO ESPECIAL SANTOS DUMONT</t>
        </is>
      </c>
      <c r="G3" s="162" t="inlineStr">
        <is>
          <t>CENTRO</t>
        </is>
      </c>
      <c r="H3" s="162" t="inlineStr">
        <is>
          <t>1023</t>
        </is>
      </c>
      <c r="I3" s="162" t="inlineStr">
        <is>
          <t>RUA MONTECASEROS, 520 - CEP 25685-080</t>
        </is>
      </c>
      <c r="J3" s="162" t="inlineStr">
        <is>
          <t>(24) 2242-5906, (24) 98829-6926</t>
        </is>
      </c>
    </row>
    <row r="4" ht="15" customHeight="1" s="163">
      <c r="A4" s="162" t="inlineStr">
        <is>
          <t>Agrião</t>
        </is>
      </c>
      <c r="B4" s="318" t="n">
        <v>16.94</v>
      </c>
      <c r="D4" s="162" t="inlineStr">
        <is>
          <t>Armando Jose da Silva</t>
        </is>
      </c>
      <c r="F4" s="162" t="inlineStr">
        <is>
          <t>LICEU MUN PREFEITO CORDOLINO AMBROSIO</t>
        </is>
      </c>
      <c r="G4" s="162" t="inlineStr">
        <is>
          <t>CENTRO</t>
        </is>
      </c>
      <c r="H4" s="162" t="inlineStr">
        <is>
          <t>1026</t>
        </is>
      </c>
      <c r="I4" s="162" t="inlineStr">
        <is>
          <t>RUA MONTECASEROS, 240 - CEP 25680-004</t>
        </is>
      </c>
      <c r="J4" s="162" t="inlineStr">
        <is>
          <t>(24) 2017-9500, (24) 2019-2187</t>
        </is>
      </c>
    </row>
    <row r="5" ht="15" customHeight="1" s="163">
      <c r="A5" s="162" t="inlineStr">
        <is>
          <t>Alface lisa</t>
        </is>
      </c>
      <c r="B5" s="318" t="n">
        <v>14.62</v>
      </c>
      <c r="D5" s="162" t="inlineStr">
        <is>
          <t>Arnaldo da Silva</t>
        </is>
      </c>
      <c r="F5" s="162" t="inlineStr">
        <is>
          <t>E M PREFEITO JAMIL SABRÁ</t>
        </is>
      </c>
      <c r="G5" s="162" t="inlineStr">
        <is>
          <t>CENTRO</t>
        </is>
      </c>
      <c r="H5" s="162" t="inlineStr">
        <is>
          <t>1080</t>
        </is>
      </c>
      <c r="I5" s="162" t="inlineStr">
        <is>
          <t>RUA CORONEL VEIGA, 1130 - CEP 25655-171</t>
        </is>
      </c>
      <c r="J5" s="162" t="inlineStr">
        <is>
          <t>(24) 2019-0494</t>
        </is>
      </c>
    </row>
    <row r="6" ht="15" customHeight="1" s="163">
      <c r="A6" s="162" t="inlineStr">
        <is>
          <t>Banana prata</t>
        </is>
      </c>
      <c r="B6" s="318" t="n">
        <v>12.05</v>
      </c>
      <c r="D6" s="162" t="inlineStr">
        <is>
          <t>Claudeni Rodrigues Xavier</t>
        </is>
      </c>
      <c r="F6" s="162" t="inlineStr">
        <is>
          <t>LICEU MUNICIPAL CARLOS CHAGAS FILHO</t>
        </is>
      </c>
      <c r="G6" s="162" t="inlineStr">
        <is>
          <t>CENTRO</t>
        </is>
      </c>
      <c r="H6" s="162" t="inlineStr">
        <is>
          <t>1081</t>
        </is>
      </c>
      <c r="I6" s="162" t="inlineStr">
        <is>
          <t>RUA BARÃO DO RIO BRANCO, 2053 - CEP 25680-275</t>
        </is>
      </c>
      <c r="J6" s="162" t="inlineStr">
        <is>
          <t>(24) 2242-1062</t>
        </is>
      </c>
    </row>
    <row r="7" ht="15" customHeight="1" s="163">
      <c r="A7" s="162" t="inlineStr">
        <is>
          <t>Batata inglesa</t>
        </is>
      </c>
      <c r="B7" s="318" t="n">
        <v>11.59</v>
      </c>
      <c r="D7" s="162" t="inlineStr">
        <is>
          <t>Edson Jose da Silva</t>
        </is>
      </c>
      <c r="F7" s="162" t="inlineStr">
        <is>
          <t>E M PAULO FREIRE</t>
        </is>
      </c>
      <c r="G7" s="162" t="inlineStr">
        <is>
          <t>CENTRO</t>
        </is>
      </c>
      <c r="H7" s="162" t="inlineStr">
        <is>
          <t>1108</t>
        </is>
      </c>
      <c r="I7" s="162" t="inlineStr">
        <is>
          <t>RUA BUARQUE DE MACEDO, 53 - CEP 25625-290</t>
        </is>
      </c>
      <c r="J7" s="162" t="inlineStr">
        <is>
          <t>(24) 2246-1790, (24) 99258-1541</t>
        </is>
      </c>
    </row>
    <row r="8" ht="15" customHeight="1" s="163">
      <c r="A8" s="162" t="inlineStr">
        <is>
          <t>Beterraba</t>
        </is>
      </c>
      <c r="B8" s="318" t="n">
        <v>9.869999999999999</v>
      </c>
      <c r="D8" s="162" t="inlineStr">
        <is>
          <t>Gabriel Adriano de Souza</t>
        </is>
      </c>
      <c r="F8" s="162" t="inlineStr">
        <is>
          <t>E M PROFª MARIA CAMPOS DA SILVA</t>
        </is>
      </c>
      <c r="G8" s="162" t="inlineStr">
        <is>
          <t>CENTRO</t>
        </is>
      </c>
      <c r="H8" s="162" t="inlineStr">
        <is>
          <t>1109</t>
        </is>
      </c>
      <c r="I8" s="162" t="inlineStr">
        <is>
          <t>RUA BUENOS AIRES, 108 - CEP 25610-141</t>
        </is>
      </c>
      <c r="J8" s="162" t="inlineStr">
        <is>
          <t>(24) 2246-8649, (24) 2231-6398</t>
        </is>
      </c>
    </row>
    <row r="9" ht="15" customHeight="1" s="163">
      <c r="A9" s="162" t="inlineStr">
        <is>
          <t>Brócolis</t>
        </is>
      </c>
      <c r="B9" s="318" t="n">
        <v>13.67</v>
      </c>
      <c r="D9" s="162" t="inlineStr">
        <is>
          <t>Gustavo de Mello Rodrigues</t>
        </is>
      </c>
      <c r="F9" s="162" t="inlineStr">
        <is>
          <t>CASA DA EDUCAÇÃO VISCONDE DE MAUÁ</t>
        </is>
      </c>
      <c r="G9" s="162" t="inlineStr">
        <is>
          <t>CENTRO</t>
        </is>
      </c>
      <c r="H9" s="162" t="inlineStr">
        <is>
          <t>1114</t>
        </is>
      </c>
      <c r="I9" s="162" t="inlineStr">
        <is>
          <t>RUA BARÃO DO RIO BRANCO, 3 - CEP 25680-150</t>
        </is>
      </c>
      <c r="J9" s="162" t="inlineStr">
        <is>
          <t>(24) 2246-8661, (24) 2291-3799</t>
        </is>
      </c>
    </row>
    <row r="10" ht="15" customHeight="1" s="163">
      <c r="A10" s="162" t="inlineStr">
        <is>
          <t>Cenoura</t>
        </is>
      </c>
      <c r="B10" s="318" t="n">
        <v>10.2</v>
      </c>
      <c r="D10" s="162" t="inlineStr">
        <is>
          <t>Joaquim Sergio Lage</t>
        </is>
      </c>
      <c r="F10" s="162" t="inlineStr">
        <is>
          <t>CENTRO DE REFERÊNCIA EM EDUCAÇÃO INCLUSIVA JOÃO PEDRO DE SOUZA ROSA</t>
        </is>
      </c>
      <c r="G10" s="162" t="inlineStr">
        <is>
          <t>CENTRO</t>
        </is>
      </c>
      <c r="H10" s="162" t="inlineStr">
        <is>
          <t>1115</t>
        </is>
      </c>
      <c r="I10" s="162" t="inlineStr">
        <is>
          <t>RUA BUENOS AIRES, 155 - CEP 25685-350</t>
        </is>
      </c>
      <c r="J10" s="162" t="inlineStr">
        <is>
          <t>(24) 2242-9531, (24) 2246-3169</t>
        </is>
      </c>
    </row>
    <row r="11" ht="15" customHeight="1" s="163">
      <c r="A11" s="162" t="inlineStr">
        <is>
          <t>Cheiro verde</t>
        </is>
      </c>
      <c r="B11" s="318" t="n">
        <v>25.1</v>
      </c>
      <c r="D11" s="162" t="inlineStr">
        <is>
          <t>Jorge Gabriel Pereira Diniz</t>
        </is>
      </c>
      <c r="F11" s="162" t="inlineStr">
        <is>
          <t>ESCOLA SANTA LUIZA DE MARILLAC</t>
        </is>
      </c>
      <c r="G11" s="162" t="inlineStr">
        <is>
          <t>CENTRO</t>
        </is>
      </c>
      <c r="H11" s="162" t="inlineStr">
        <is>
          <t>1120</t>
        </is>
      </c>
      <c r="I11" s="162" t="inlineStr">
        <is>
          <t>RUA BUENOS AIRES, 71 - CEP 25610-141</t>
        </is>
      </c>
      <c r="J11" s="162" t="inlineStr">
        <is>
          <t>(24) 2244-9546</t>
        </is>
      </c>
    </row>
    <row r="12" ht="15" customHeight="1" s="163">
      <c r="A12" s="162" t="inlineStr">
        <is>
          <t>Chuchu</t>
        </is>
      </c>
      <c r="B12" s="318" t="n">
        <v>8.56</v>
      </c>
      <c r="D12" s="162" t="inlineStr">
        <is>
          <t>Jose Gilmar Santana de Mello</t>
        </is>
      </c>
      <c r="F12" s="162" t="inlineStr">
        <is>
          <t>ESCOLA DOMÉSTICA NOSSA SENHORA DO AMPARO</t>
        </is>
      </c>
      <c r="G12" s="162" t="inlineStr">
        <is>
          <t>CENTRO</t>
        </is>
      </c>
      <c r="H12" s="162" t="inlineStr">
        <is>
          <t>2010</t>
        </is>
      </c>
      <c r="I12" s="162" t="inlineStr">
        <is>
          <t>AVENIDA ROBERTO SILVEIRA, 150 - CEP 25685-040</t>
        </is>
      </c>
      <c r="J12" s="162" t="inlineStr">
        <is>
          <t>(24) 2242-0868</t>
        </is>
      </c>
    </row>
    <row r="13" ht="15" customHeight="1" s="163">
      <c r="A13" s="162" t="inlineStr">
        <is>
          <t>Couve manteiga</t>
        </is>
      </c>
      <c r="B13" s="318" t="n">
        <v>14.6</v>
      </c>
      <c r="D13" s="162" t="inlineStr">
        <is>
          <t>Jose Rodrigues de Melo</t>
        </is>
      </c>
      <c r="F13" s="162" t="inlineStr">
        <is>
          <t>ESCOLA MONSENHOR GENTIL</t>
        </is>
      </c>
      <c r="G13" s="162" t="inlineStr">
        <is>
          <t>CENTRO</t>
        </is>
      </c>
      <c r="H13" s="162" t="inlineStr">
        <is>
          <t>2014</t>
        </is>
      </c>
      <c r="I13" s="162" t="inlineStr">
        <is>
          <t>RUA MARECHAL FLORIANO PEIXOTO, S/N - CEP 25610-970</t>
        </is>
      </c>
      <c r="J13" s="162" t="inlineStr">
        <is>
          <t>(24) 2244-9156</t>
        </is>
      </c>
    </row>
    <row r="14" ht="15" customHeight="1" s="163">
      <c r="A14" s="162" t="inlineStr">
        <is>
          <t>Couve-flor</t>
        </is>
      </c>
      <c r="B14" s="318" t="n">
        <v>19.11</v>
      </c>
      <c r="D14" s="162" t="inlineStr">
        <is>
          <t>Lucio Mauro Felix da Silva</t>
        </is>
      </c>
      <c r="F14" s="162" t="inlineStr">
        <is>
          <t>ESCOLA PAROQUIAL NOSSA SENHORA DO CARMO</t>
        </is>
      </c>
      <c r="G14" s="162" t="inlineStr">
        <is>
          <t>CENTRO</t>
        </is>
      </c>
      <c r="H14" s="162" t="inlineStr">
        <is>
          <t>2018</t>
        </is>
      </c>
      <c r="I14" s="162" t="inlineStr">
        <is>
          <t>RUA BARÃO DO RIO BRANCO, 2053 - CEP 25680-275</t>
        </is>
      </c>
      <c r="J14" s="162" t="inlineStr">
        <is>
          <t>(24) 2245-6119</t>
        </is>
      </c>
    </row>
    <row r="15" ht="15" customHeight="1" s="163">
      <c r="A15" s="162" t="inlineStr">
        <is>
          <t>Espinafre</t>
        </is>
      </c>
      <c r="B15" s="318" t="n">
        <v>11.22</v>
      </c>
      <c r="D15" s="162" t="inlineStr">
        <is>
          <t>Luiz Ailton de Oliveira Pinto</t>
        </is>
      </c>
      <c r="F15" s="162" t="inlineStr">
        <is>
          <t>ESCOLA PAROQUIAL SÃO PEDRO DE ALCÂNTARA</t>
        </is>
      </c>
      <c r="G15" s="162" t="inlineStr">
        <is>
          <t>CENTRO</t>
        </is>
      </c>
      <c r="H15" s="162" t="inlineStr">
        <is>
          <t>2019</t>
        </is>
      </c>
      <c r="I15" s="162" t="inlineStr">
        <is>
          <t>RUA IPIRANGA, 182 - CEP 25685-250</t>
        </is>
      </c>
      <c r="J15" s="162" t="inlineStr">
        <is>
          <t>(24) 2245-6599</t>
        </is>
      </c>
    </row>
    <row r="16" ht="15" customHeight="1" s="163">
      <c r="A16" s="162" t="inlineStr">
        <is>
          <t>Maçã gala</t>
        </is>
      </c>
      <c r="B16" s="318" t="n">
        <v>16.63</v>
      </c>
      <c r="D16" s="162" t="inlineStr">
        <is>
          <t>Marcelo Marcos Delgado</t>
        </is>
      </c>
      <c r="F16" s="162" t="inlineStr">
        <is>
          <t>CEI TERRA SANTA</t>
        </is>
      </c>
      <c r="G16" s="162" t="inlineStr">
        <is>
          <t>CENTRO</t>
        </is>
      </c>
      <c r="H16" s="162" t="inlineStr">
        <is>
          <t>3037</t>
        </is>
      </c>
      <c r="I16" s="162" t="inlineStr">
        <is>
          <t>RUA MONSENHOR BACELAR, 590 - CEP 25685-113</t>
        </is>
      </c>
      <c r="J16" s="162" t="inlineStr">
        <is>
          <t>(24) 2231-1403, (24) 98854-7557</t>
        </is>
      </c>
    </row>
    <row r="17" ht="15" customHeight="1" s="163">
      <c r="A17" s="162" t="inlineStr">
        <is>
          <t>Mel</t>
        </is>
      </c>
      <c r="B17" s="318" t="n">
        <v>65.68000000000001</v>
      </c>
      <c r="D17" s="162" t="inlineStr">
        <is>
          <t>Marcio Azevedo de Souza</t>
        </is>
      </c>
      <c r="F17" s="162" t="inlineStr">
        <is>
          <t>CEI PRIMEIRA INFÂNCIA</t>
        </is>
      </c>
      <c r="G17" s="162" t="inlineStr">
        <is>
          <t>CENTRO</t>
        </is>
      </c>
      <c r="H17" s="162" t="inlineStr">
        <is>
          <t>3052</t>
        </is>
      </c>
      <c r="I17" s="162" t="inlineStr">
        <is>
          <t>RUA BUARQUE DE MACEDO, 63 - CEP 25625-290</t>
        </is>
      </c>
      <c r="J17" s="162" t="inlineStr">
        <is>
          <t>(24) 2244-7492</t>
        </is>
      </c>
    </row>
    <row r="18" ht="15" customHeight="1" s="163">
      <c r="A18" s="162" t="inlineStr">
        <is>
          <t>Ovos</t>
        </is>
      </c>
      <c r="B18" s="318" t="n">
        <v>15.45</v>
      </c>
      <c r="D18" s="162" t="inlineStr">
        <is>
          <t>Marco Antonio Coelho</t>
        </is>
      </c>
      <c r="F18" s="162" t="inlineStr">
        <is>
          <t>CEI PROFª PATRÍCIA FERREIRA E SILVA FREITAS</t>
        </is>
      </c>
      <c r="G18" s="162" t="inlineStr">
        <is>
          <t>CENTRO</t>
        </is>
      </c>
      <c r="H18" s="162" t="inlineStr">
        <is>
          <t>3054</t>
        </is>
      </c>
      <c r="I18" s="162" t="inlineStr">
        <is>
          <t>CASIMIRO DE ABREU, 26 - CEP 25615-002</t>
        </is>
      </c>
      <c r="J18" s="162" t="inlineStr">
        <is>
          <t>(24) 2243-7762, (24) 2019-0962</t>
        </is>
      </c>
    </row>
    <row r="19" ht="15" customHeight="1" s="163">
      <c r="A19" s="162" t="inlineStr">
        <is>
          <t>Repolho</t>
        </is>
      </c>
      <c r="B19" s="318" t="n">
        <v>10.24</v>
      </c>
      <c r="D19" s="162" t="inlineStr">
        <is>
          <t>Marcos Marcelo Delgado</t>
        </is>
      </c>
      <c r="F19" s="162" t="inlineStr">
        <is>
          <t>CEI DRA ZILDA ARNS NEUMANN</t>
        </is>
      </c>
      <c r="G19" s="162" t="inlineStr">
        <is>
          <t>CENTRO</t>
        </is>
      </c>
      <c r="H19" s="162" t="inlineStr">
        <is>
          <t>3055</t>
        </is>
      </c>
      <c r="I19" s="162" t="inlineStr">
        <is>
          <t>SANTOS DUMONT, 786 - CEP 25625-090</t>
        </is>
      </c>
      <c r="J19" s="162" t="inlineStr">
        <is>
          <t>(24) 2245-6869</t>
        </is>
      </c>
    </row>
    <row r="20" ht="15" customHeight="1" s="163">
      <c r="A20" s="162" t="inlineStr">
        <is>
          <t>Tangerina ponkan</t>
        </is>
      </c>
      <c r="B20" s="318" t="n">
        <v>13.55</v>
      </c>
      <c r="D20" s="162" t="inlineStr">
        <is>
          <t>Miguel Fernando de Almeida</t>
        </is>
      </c>
      <c r="F20" s="162" t="inlineStr">
        <is>
          <t>CENTRO DE EDUCAÇÃO INFANTIL PROFESSORA TINA GRAZINOLI</t>
        </is>
      </c>
      <c r="G20" s="162" t="inlineStr">
        <is>
          <t>CENTRO</t>
        </is>
      </c>
      <c r="H20" s="162" t="inlineStr">
        <is>
          <t>3066</t>
        </is>
      </c>
      <c r="I20" s="162" t="inlineStr">
        <is>
          <t>RUA VISCONDE DO BOM RETIRO, 165 - CEP 25625-023</t>
        </is>
      </c>
      <c r="J20" s="162" t="inlineStr">
        <is>
          <t>(24) 2246-3494</t>
        </is>
      </c>
    </row>
    <row r="21" ht="15" customHeight="1" s="163">
      <c r="D21" s="162" t="inlineStr">
        <is>
          <t>Nilson Ferreira da Silva</t>
        </is>
      </c>
      <c r="F21" s="162" t="inlineStr">
        <is>
          <t>CEI MONSENHOR PAULO ELIAS DAHER CHÉDIER</t>
        </is>
      </c>
      <c r="G21" s="162" t="inlineStr">
        <is>
          <t>CENTRO</t>
        </is>
      </c>
      <c r="H21" s="162" t="inlineStr">
        <is>
          <t>3068</t>
        </is>
      </c>
      <c r="I21" s="162" t="inlineStr">
        <is>
          <t>RUA BENJAMIN CONSTANT, 272 - CEP 25610-130</t>
        </is>
      </c>
      <c r="J21" s="162" t="inlineStr">
        <is>
          <t>(24) 2020-9441, (24) 99974-9662</t>
        </is>
      </c>
    </row>
    <row r="22" ht="15" customHeight="1" s="163">
      <c r="D22" s="162" t="inlineStr">
        <is>
          <t>Renato Jose da Silva</t>
        </is>
      </c>
      <c r="F22" s="162" t="inlineStr">
        <is>
          <t>COLÉGIO GUNNAR VINGREN DE PETRÓPOLIS</t>
        </is>
      </c>
      <c r="G22" s="162" t="inlineStr">
        <is>
          <t>VALPARAÍSO</t>
        </is>
      </c>
      <c r="H22" s="162" t="inlineStr">
        <is>
          <t>1117</t>
        </is>
      </c>
      <c r="I22" s="162" t="inlineStr">
        <is>
          <t>RUA PADRE MOREIRA, 65 - CEP 25685-132</t>
        </is>
      </c>
      <c r="J22" s="162" t="inlineStr">
        <is>
          <t>(24) 2249-2781</t>
        </is>
      </c>
    </row>
    <row r="23" ht="15" customHeight="1" s="163">
      <c r="D23" s="162" t="inlineStr">
        <is>
          <t>Rodolfo Azevedo de Andrade</t>
        </is>
      </c>
      <c r="F23" s="162" t="inlineStr">
        <is>
          <t>EDUCANDÁRIO TERRA SANTA</t>
        </is>
      </c>
      <c r="G23" s="162" t="inlineStr">
        <is>
          <t>VALPARAÍSO</t>
        </is>
      </c>
      <c r="H23" s="162" t="inlineStr">
        <is>
          <t>2005</t>
        </is>
      </c>
      <c r="I23" s="162" t="inlineStr">
        <is>
          <t>RUA MONSENHOR BACELAR, 590 - CEP 25685-113</t>
        </is>
      </c>
      <c r="J23" s="162" t="inlineStr">
        <is>
          <t>(24) 2245-3474</t>
        </is>
      </c>
    </row>
    <row r="24" ht="15" customHeight="1" s="163">
      <c r="F24" s="162" t="inlineStr">
        <is>
          <t>CEI LIONS CLUBE DE PETRÓPOLIS</t>
        </is>
      </c>
      <c r="G24" s="162" t="inlineStr">
        <is>
          <t>VALPARAÍSO</t>
        </is>
      </c>
      <c r="H24" s="162" t="inlineStr">
        <is>
          <t>3041</t>
        </is>
      </c>
      <c r="I24" s="162" t="inlineStr">
        <is>
          <t>RUA ROCKFELLER, 243 - CEP 25655-090</t>
        </is>
      </c>
      <c r="J24" s="162" t="inlineStr">
        <is>
          <t>(24) 2243-2886, (24) 98182-7588</t>
        </is>
      </c>
    </row>
    <row r="25" ht="15" customHeight="1" s="163">
      <c r="F25" s="162" t="inlineStr">
        <is>
          <t>ESCOLA PAROQUIAL NOSSA SENHORA DAS GRAÇAS</t>
        </is>
      </c>
      <c r="G25" s="162" t="inlineStr">
        <is>
          <t>QUARTEIRÃO BRASILEIRO</t>
        </is>
      </c>
      <c r="H25" s="162" t="inlineStr">
        <is>
          <t>2017</t>
        </is>
      </c>
      <c r="I25" s="162" t="inlineStr">
        <is>
          <t>RUA PROFESSOR JOÃO DE DEUS, 345 - CEP 25680-192</t>
        </is>
      </c>
      <c r="J25" s="162" t="inlineStr">
        <is>
          <t>(24) 2248-4534, (24) 98847-1980</t>
        </is>
      </c>
    </row>
    <row r="26" ht="15" customHeight="1" s="163">
      <c r="F26" s="162" t="inlineStr">
        <is>
          <t>CENTRO DE EDUCAÇÃO INFANTIL IRMÃ DULCE</t>
        </is>
      </c>
      <c r="G26" s="162" t="inlineStr">
        <is>
          <t>QUARTEIRÃO BRASILEIRO</t>
        </is>
      </c>
      <c r="H26" s="162" t="inlineStr">
        <is>
          <t>3015</t>
        </is>
      </c>
      <c r="I26" s="162" t="inlineStr">
        <is>
          <t>RUA ATÍLIO MAROTTI, 1011 - CEP 25680-290</t>
        </is>
      </c>
      <c r="J26" s="162" t="inlineStr">
        <is>
          <t>(24) 2017-5664</t>
        </is>
      </c>
    </row>
    <row r="27" ht="15" customHeight="1" s="163">
      <c r="F27" s="162" t="inlineStr">
        <is>
          <t>E M LUIZ CARLOS SOARES</t>
        </is>
      </c>
      <c r="G27" s="162" t="inlineStr">
        <is>
          <t>MORIN</t>
        </is>
      </c>
      <c r="H27" s="162" t="inlineStr">
        <is>
          <t>1009</t>
        </is>
      </c>
      <c r="I27" s="162" t="inlineStr">
        <is>
          <t>RUA EUVALDO LODDI, S/N - CEP 25630-110</t>
        </is>
      </c>
      <c r="J27" s="162" t="inlineStr">
        <is>
          <t>(24) 2231-9813</t>
        </is>
      </c>
    </row>
    <row r="28" ht="15" customHeight="1" s="163">
      <c r="F28" s="162" t="inlineStr">
        <is>
          <t>ESCOLA GERMANO VALENTE</t>
        </is>
      </c>
      <c r="G28" s="162" t="inlineStr">
        <is>
          <t>MORIN</t>
        </is>
      </c>
      <c r="H28" s="162" t="inlineStr">
        <is>
          <t>2008</t>
        </is>
      </c>
      <c r="I28" s="162" t="inlineStr">
        <is>
          <t>RUA DR. SÁ EARP, 88 - CEP 25625-073</t>
        </is>
      </c>
      <c r="J28" s="162" t="inlineStr">
        <is>
          <t>(24) 2231-6831, (24) 2242-5196</t>
        </is>
      </c>
    </row>
    <row r="29" ht="15" customHeight="1" s="163">
      <c r="F29" s="162" t="inlineStr">
        <is>
          <t>ESCOLA PAROQUIAL NOSSA SENHORA DA GLÓRIA</t>
        </is>
      </c>
      <c r="G29" s="162" t="inlineStr">
        <is>
          <t>MORIN</t>
        </is>
      </c>
      <c r="H29" s="162" t="inlineStr">
        <is>
          <t>2013</t>
        </is>
      </c>
      <c r="I29" s="162" t="inlineStr">
        <is>
          <t>RUA AUGUSTO SEVERO, - CEP 25630-050</t>
        </is>
      </c>
      <c r="J29" s="162" t="inlineStr">
        <is>
          <t>(24) 2245-8243</t>
        </is>
      </c>
    </row>
    <row r="30" ht="15" customHeight="1" s="163">
      <c r="F30" s="162" t="inlineStr">
        <is>
          <t>CEI JORGE ROLANDO DA SILVA</t>
        </is>
      </c>
      <c r="G30" s="162" t="inlineStr">
        <is>
          <t>MORIN</t>
        </is>
      </c>
      <c r="H30" s="162" t="inlineStr">
        <is>
          <t>3038</t>
        </is>
      </c>
      <c r="I30" s="162" t="inlineStr">
        <is>
          <t>RUA ANÉSIO DE OLIVEIRA, 111 - CEP 25630-080</t>
        </is>
      </c>
      <c r="J30" s="162" t="inlineStr">
        <is>
          <t>(24) 2249-2571, (24) 98803-4864</t>
        </is>
      </c>
    </row>
    <row r="31" ht="15" customHeight="1" s="163">
      <c r="F31" s="162" t="inlineStr">
        <is>
          <t>E M CLEMENTE FERNANDES</t>
        </is>
      </c>
      <c r="G31" s="162" t="inlineStr">
        <is>
          <t>ALTO DA SERRA</t>
        </is>
      </c>
      <c r="H31" s="162" t="inlineStr">
        <is>
          <t>1005</t>
        </is>
      </c>
      <c r="I31" s="162" t="inlineStr">
        <is>
          <t>24 DE MAIO, 517 - CEP 25640-550</t>
        </is>
      </c>
      <c r="J31" s="162" t="inlineStr">
        <is>
          <t>(24) 2246-3970, (24) 99952-1663</t>
        </is>
      </c>
    </row>
    <row r="32" ht="15" customHeight="1" s="163">
      <c r="F32" s="162" t="inlineStr">
        <is>
          <t>E M GERALDO VENTURA DIAS</t>
        </is>
      </c>
      <c r="G32" s="162" t="inlineStr">
        <is>
          <t>ALTO DA SERRA</t>
        </is>
      </c>
      <c r="H32" s="162" t="inlineStr">
        <is>
          <t>1078</t>
        </is>
      </c>
      <c r="I32" s="162" t="inlineStr">
        <is>
          <t>ESTRADA VELHA DA ESTRELA, 3100 - CEP 25635-114</t>
        </is>
      </c>
      <c r="J32" s="162" t="inlineStr">
        <is>
          <t>(24) 2247-6112, (24) 93300-1607</t>
        </is>
      </c>
    </row>
    <row r="33" ht="15" customHeight="1" s="163">
      <c r="F33" s="162" t="inlineStr">
        <is>
          <t>ESCOLA DAS COMUNIDADES SANTO ANTÔNIO</t>
        </is>
      </c>
      <c r="G33" s="162" t="inlineStr">
        <is>
          <t>ALTO DA SERRA</t>
        </is>
      </c>
      <c r="H33" s="162" t="inlineStr">
        <is>
          <t>2009</t>
        </is>
      </c>
      <c r="I33" s="162" t="inlineStr">
        <is>
          <t>RUA CORONEL ALBINO SIQUEIRA, 197 - CEP 25635-130</t>
        </is>
      </c>
      <c r="J33" s="162" t="inlineStr">
        <is>
          <t>(24) 2245-9634, (24) 2242-4802</t>
        </is>
      </c>
    </row>
    <row r="34" ht="15" customHeight="1" s="163">
      <c r="F34" s="162" t="inlineStr">
        <is>
          <t>CEI PROFª ROSANGELA DA SILVA LEONARDO</t>
        </is>
      </c>
      <c r="G34" s="162" t="inlineStr">
        <is>
          <t>ALTO DA SERRA</t>
        </is>
      </c>
      <c r="H34" s="162" t="inlineStr">
        <is>
          <t>3019</t>
        </is>
      </c>
      <c r="I34" s="162" t="inlineStr">
        <is>
          <t>ESTRADA VELHA DA ESTRELA, 3100 - CEP 25635-114</t>
        </is>
      </c>
      <c r="J34" s="162" t="inlineStr">
        <is>
          <t>(24) 98832-2147, (24) 2020-7337</t>
        </is>
      </c>
    </row>
    <row r="35" ht="15" customHeight="1" s="163">
      <c r="F35" s="162" t="inlineStr">
        <is>
          <t>CEI DEISE ELOY GOMES</t>
        </is>
      </c>
      <c r="G35" s="162" t="inlineStr">
        <is>
          <t>ALTO DA SERRA</t>
        </is>
      </c>
      <c r="H35" s="162" t="inlineStr">
        <is>
          <t>3022</t>
        </is>
      </c>
      <c r="I35" s="162" t="inlineStr">
        <is>
          <t>CARMEM DA PONTE MARCOLINO, 823 - CEP 25635-240</t>
        </is>
      </c>
      <c r="J35" s="162" t="inlineStr">
        <is>
          <t>(24) 2243-9459</t>
        </is>
      </c>
    </row>
    <row r="36" ht="15" customHeight="1" s="163">
      <c r="F36" s="162" t="inlineStr">
        <is>
          <t>CEI PROFª SONIA REGINA SCUDESE DESSIMONI PINTO</t>
        </is>
      </c>
      <c r="G36" s="162" t="inlineStr">
        <is>
          <t>ALTO DA SERRA</t>
        </is>
      </c>
      <c r="H36" s="162" t="inlineStr">
        <is>
          <t>3031</t>
        </is>
      </c>
      <c r="I36" s="162" t="inlineStr">
        <is>
          <t>IRINEU CORREA, 48 - CEP 25635-070</t>
        </is>
      </c>
      <c r="J36" s="162" t="inlineStr">
        <is>
          <t>(24) 2019-0860</t>
        </is>
      </c>
    </row>
    <row r="37" ht="15" customHeight="1" s="163">
      <c r="F37" s="162" t="inlineStr">
        <is>
          <t>CEI TIA ALICE</t>
        </is>
      </c>
      <c r="G37" s="162" t="inlineStr">
        <is>
          <t>ALTO DA SERRA</t>
        </is>
      </c>
      <c r="H37" s="162" t="inlineStr">
        <is>
          <t>3036</t>
        </is>
      </c>
      <c r="I37" s="162" t="inlineStr">
        <is>
          <t>RUA CORONEL ALBINO SIQUEIRA, 114 - CEP 25635-130</t>
        </is>
      </c>
      <c r="J37" s="162" t="inlineStr">
        <is>
          <t>(24) 2246-1815, (24) 98801-6690</t>
        </is>
      </c>
    </row>
    <row r="38" ht="15" customHeight="1" s="163">
      <c r="F38" s="162" t="inlineStr">
        <is>
          <t>E M BATAILLARD</t>
        </is>
      </c>
      <c r="G38" s="162" t="inlineStr">
        <is>
          <t>MOSELA</t>
        </is>
      </c>
      <c r="H38" s="162" t="inlineStr">
        <is>
          <t>1003</t>
        </is>
      </c>
      <c r="I38" s="162" t="inlineStr">
        <is>
          <t>RUA BATAILLARD, S/N - CEP 25675-160</t>
        </is>
      </c>
      <c r="J38" s="162" t="inlineStr">
        <is>
          <t>(24) 2248-7603</t>
        </is>
      </c>
    </row>
    <row r="39" ht="15" customHeight="1" s="163">
      <c r="F39" s="162" t="inlineStr">
        <is>
          <t>E M SOROPTIMISTA</t>
        </is>
      </c>
      <c r="G39" s="162" t="inlineStr">
        <is>
          <t>MOSELA</t>
        </is>
      </c>
      <c r="H39" s="162" t="inlineStr">
        <is>
          <t>1024</t>
        </is>
      </c>
      <c r="I39" s="162" t="inlineStr">
        <is>
          <t>TEOFILO JOSE DA SILVA, S/N - CEP 25670-020</t>
        </is>
      </c>
      <c r="J39" s="162" t="inlineStr">
        <is>
          <t>(24) 2246-5708</t>
        </is>
      </c>
    </row>
    <row r="40" ht="15" customHeight="1" s="163">
      <c r="F40" s="162" t="inlineStr">
        <is>
          <t>E M SALVADOR KLING</t>
        </is>
      </c>
      <c r="G40" s="162" t="inlineStr">
        <is>
          <t>MOSELA</t>
        </is>
      </c>
      <c r="H40" s="162" t="inlineStr">
        <is>
          <t>1079</t>
        </is>
      </c>
      <c r="I40" s="162" t="inlineStr">
        <is>
          <t>RUA MOSELA, 995 - CEP 25675-016</t>
        </is>
      </c>
      <c r="J40" s="162" t="inlineStr">
        <is>
          <t>(24) 2231-3651</t>
        </is>
      </c>
    </row>
    <row r="41" ht="15" customHeight="1" s="163">
      <c r="F41" s="162" t="inlineStr">
        <is>
          <t>ESCOLA MUNICIPALIZADA FREI ANICETO</t>
        </is>
      </c>
      <c r="G41" s="162" t="inlineStr">
        <is>
          <t>MOSELA</t>
        </is>
      </c>
      <c r="H41" s="162" t="inlineStr">
        <is>
          <t>1086</t>
        </is>
      </c>
      <c r="I41" s="162" t="inlineStr">
        <is>
          <t>RUA MOSELA, 1445 - CEP 25675-017</t>
        </is>
      </c>
      <c r="J41" s="162" t="inlineStr">
        <is>
          <t>(24) 2291-7304</t>
        </is>
      </c>
    </row>
    <row r="42" ht="15" customHeight="1" s="163">
      <c r="F42" s="162" t="inlineStr">
        <is>
          <t>ESCOLA SÃO JUDAS TADEU</t>
        </is>
      </c>
      <c r="G42" s="162" t="inlineStr">
        <is>
          <t>MOSELA</t>
        </is>
      </c>
      <c r="H42" s="162" t="inlineStr">
        <is>
          <t>2029</t>
        </is>
      </c>
      <c r="I42" s="162" t="inlineStr">
        <is>
          <t>RUA MOSELA, 1445 - CEP 25675-012</t>
        </is>
      </c>
      <c r="J42" s="162" t="inlineStr">
        <is>
          <t>(24) 2231-6934, (24) 99276-8304</t>
        </is>
      </c>
    </row>
    <row r="43" ht="15" customHeight="1" s="163">
      <c r="F43" s="162" t="inlineStr">
        <is>
          <t>CEI PEDRAS BRANCAS</t>
        </is>
      </c>
      <c r="G43" s="162" t="inlineStr">
        <is>
          <t>MOSELA</t>
        </is>
      </c>
      <c r="H43" s="162" t="inlineStr">
        <is>
          <t>3016</t>
        </is>
      </c>
      <c r="I43" s="162" t="inlineStr">
        <is>
          <t>RUA PEDRAS BRANCAS, S/N - CEP 25670-221</t>
        </is>
      </c>
      <c r="J43" s="162" t="inlineStr">
        <is>
          <t>(24) 2019-0042</t>
        </is>
      </c>
    </row>
    <row r="44" ht="15" customHeight="1" s="163">
      <c r="F44" s="162" t="inlineStr">
        <is>
          <t>CEI MARIA THEREZA KLING DO VALLE</t>
        </is>
      </c>
      <c r="G44" s="162" t="inlineStr">
        <is>
          <t>MOSELA</t>
        </is>
      </c>
      <c r="H44" s="162" t="inlineStr">
        <is>
          <t>3021</t>
        </is>
      </c>
      <c r="I44" s="162" t="inlineStr">
        <is>
          <t>RUA CANDIDO PORTINARI, 56 - CEP 25675-130</t>
        </is>
      </c>
      <c r="J44" s="162" t="inlineStr">
        <is>
          <t>(24) 2237-4037</t>
        </is>
      </c>
    </row>
    <row r="45" ht="15" customHeight="1" s="163">
      <c r="F45" s="162" t="inlineStr">
        <is>
          <t>CEI DONA ESPERANZA DE BOURBON DE ORLEANS E BRAGANÇA</t>
        </is>
      </c>
      <c r="G45" s="162" t="inlineStr">
        <is>
          <t>MOSELA</t>
        </is>
      </c>
      <c r="H45" s="162" t="inlineStr">
        <is>
          <t>3032</t>
        </is>
      </c>
      <c r="I45" s="162" t="inlineStr">
        <is>
          <t>PARQUE RESIDENCIAL MOSELA, S/N - CEP 25675-160</t>
        </is>
      </c>
      <c r="J45" s="162" t="inlineStr">
        <is>
          <t>(24) 2019-2325</t>
        </is>
      </c>
    </row>
    <row r="46" ht="15" customHeight="1" s="163">
      <c r="F46" s="162" t="inlineStr">
        <is>
          <t>CEI GIUSEPPE-NEVA VOLONTERIO</t>
        </is>
      </c>
      <c r="G46" s="162" t="inlineStr">
        <is>
          <t>MOSELA</t>
        </is>
      </c>
      <c r="H46" s="162" t="inlineStr">
        <is>
          <t>3057</t>
        </is>
      </c>
      <c r="I46" s="162" t="inlineStr">
        <is>
          <t>RUA CARLOS GOMES, 180 - CEP 25680-020</t>
        </is>
      </c>
      <c r="J46" s="162" t="inlineStr">
        <is>
          <t>(24) 2242-6607, (24) 2017-3874</t>
        </is>
      </c>
    </row>
    <row r="47" ht="15" customHeight="1" s="163">
      <c r="F47" s="162" t="inlineStr">
        <is>
          <t>CENTRO DE EDUCAÇÃO INFANTIL SÃO JUDAS TADEU</t>
        </is>
      </c>
      <c r="G47" s="162" t="inlineStr">
        <is>
          <t>MOSELA</t>
        </is>
      </c>
      <c r="H47" s="162" t="inlineStr">
        <is>
          <t>4021</t>
        </is>
      </c>
      <c r="I47" s="162" t="inlineStr">
        <is>
          <t>RUA CANDIDO PORTINARI, 230 - CEP 25675-130</t>
        </is>
      </c>
      <c r="J47" s="162" t="inlineStr">
        <is>
          <t>(24) 2291-7386, (24) 98828-0197</t>
        </is>
      </c>
    </row>
    <row r="48" ht="15" customHeight="1" s="163">
      <c r="F48" s="162" t="inlineStr">
        <is>
          <t>E M LEONARDO BOFF</t>
        </is>
      </c>
      <c r="G48" s="162" t="inlineStr">
        <is>
          <t>BINGEN</t>
        </is>
      </c>
      <c r="H48" s="162" t="inlineStr">
        <is>
          <t>1004</t>
        </is>
      </c>
      <c r="I48" s="162" t="inlineStr">
        <is>
          <t>RODOVIA BR 040 KM, 81 - CEP 25665-060</t>
        </is>
      </c>
      <c r="J48" s="162" t="inlineStr">
        <is>
          <t>(24) 98849-3570, (24) 99983-5235</t>
        </is>
      </c>
    </row>
    <row r="49" ht="15" customHeight="1" s="163">
      <c r="F49" s="162" t="inlineStr">
        <is>
          <t>E M GENERAL HEITOR BORGES</t>
        </is>
      </c>
      <c r="G49" s="162" t="inlineStr">
        <is>
          <t>BINGEN</t>
        </is>
      </c>
      <c r="H49" s="162" t="inlineStr">
        <is>
          <t>1010</t>
        </is>
      </c>
      <c r="I49" s="162" t="inlineStr">
        <is>
          <t>RUA CAPITÃO CARLOS AGOSTINI, S/N - CEP 25660-100</t>
        </is>
      </c>
      <c r="J49" s="162" t="inlineStr">
        <is>
          <t>(24) 2247-8354</t>
        </is>
      </c>
    </row>
    <row r="50" ht="15" customHeight="1" s="163">
      <c r="F50" s="162" t="inlineStr">
        <is>
          <t>E M JOHANN NOEL</t>
        </is>
      </c>
      <c r="G50" s="162" t="inlineStr">
        <is>
          <t>BINGEN</t>
        </is>
      </c>
      <c r="H50" s="162" t="inlineStr">
        <is>
          <t>1101</t>
        </is>
      </c>
      <c r="I50" s="162" t="inlineStr">
        <is>
          <t>RUA BINGEN, 843 - CEP 25660-003</t>
        </is>
      </c>
      <c r="J50" s="162" t="inlineStr">
        <is>
          <t>(24) 2246-9037</t>
        </is>
      </c>
    </row>
    <row r="51" ht="15" customHeight="1" s="163">
      <c r="F51" s="162" t="inlineStr">
        <is>
          <t>ESCOLA SANTA MARIA GORETTI</t>
        </is>
      </c>
      <c r="G51" s="162" t="inlineStr">
        <is>
          <t>BINGEN</t>
        </is>
      </c>
      <c r="H51" s="162" t="inlineStr">
        <is>
          <t>2023</t>
        </is>
      </c>
      <c r="I51" s="162" t="inlineStr">
        <is>
          <t>RUA DR. PAULO HERVÊ, 1539 - CEP 25665-135</t>
        </is>
      </c>
      <c r="J51" s="162" t="inlineStr">
        <is>
          <t>(24) 2244-8436, (24) 98818-6823</t>
        </is>
      </c>
    </row>
    <row r="52" ht="15" customHeight="1" s="163">
      <c r="F52" s="162" t="inlineStr">
        <is>
          <t>ESCOLA SANTA RITA DE CASSIA</t>
        </is>
      </c>
      <c r="G52" s="162" t="inlineStr">
        <is>
          <t>BINGEN</t>
        </is>
      </c>
      <c r="H52" s="162" t="inlineStr">
        <is>
          <t>2024</t>
        </is>
      </c>
      <c r="I52" s="162" t="inlineStr">
        <is>
          <t>RUA CORONEL DUARTE DA SILVEIRA, 940 - CEP 25665-473</t>
        </is>
      </c>
      <c r="J52" s="162" t="inlineStr">
        <is>
          <t>(24) 2247-8163</t>
        </is>
      </c>
    </row>
    <row r="53" ht="15" customHeight="1" s="163">
      <c r="F53" s="162" t="inlineStr">
        <is>
          <t>ESCOLA SÃO JOÃO BATISTA</t>
        </is>
      </c>
      <c r="G53" s="162" t="inlineStr">
        <is>
          <t>BINGEN</t>
        </is>
      </c>
      <c r="H53" s="162" t="inlineStr">
        <is>
          <t>2028</t>
        </is>
      </c>
      <c r="I53" s="162" t="inlineStr">
        <is>
          <t>RUA LUIZ WINTER, S/N - CEP 25665-431</t>
        </is>
      </c>
      <c r="J53" s="162" t="inlineStr">
        <is>
          <t>(24) 2019-1828, (24) 2019-1828</t>
        </is>
      </c>
    </row>
    <row r="54" ht="15" customHeight="1" s="163">
      <c r="F54" s="162" t="inlineStr">
        <is>
          <t>CEI CASA DA SOLIDARIEDADE DE NOSSA SENHORA APARECIDA</t>
        </is>
      </c>
      <c r="G54" s="162" t="inlineStr">
        <is>
          <t>BINGEN</t>
        </is>
      </c>
      <c r="H54" s="162" t="inlineStr">
        <is>
          <t>3003</t>
        </is>
      </c>
      <c r="I54" s="162" t="inlineStr">
        <is>
          <t>DR. MOACYR M. NETTO, S/N - CEP 25665-442</t>
        </is>
      </c>
      <c r="J54" s="162" t="inlineStr">
        <is>
          <t>(24) 2247-6344, (24) 2006-0789</t>
        </is>
      </c>
    </row>
    <row r="55" ht="15" customHeight="1" s="163">
      <c r="F55" s="162" t="inlineStr">
        <is>
          <t>CEI A SEMENTEIRA</t>
        </is>
      </c>
      <c r="G55" s="162" t="inlineStr">
        <is>
          <t>BINGEN</t>
        </is>
      </c>
      <c r="H55" s="162" t="inlineStr">
        <is>
          <t>3007</t>
        </is>
      </c>
      <c r="I55" s="162" t="inlineStr">
        <is>
          <t>RUA MANOEL TORRES, 395 - CEP 25660-313</t>
        </is>
      </c>
      <c r="J55" s="162" t="inlineStr">
        <is>
          <t>(24) 2249-7294, (24) 98854-5909</t>
        </is>
      </c>
    </row>
    <row r="56" ht="15" customHeight="1" s="163">
      <c r="F56" s="162" t="inlineStr">
        <is>
          <t>CEI VILA SAO JOSE</t>
        </is>
      </c>
      <c r="G56" s="162" t="inlineStr">
        <is>
          <t>BINGEN</t>
        </is>
      </c>
      <c r="H56" s="162" t="inlineStr">
        <is>
          <t>3020</t>
        </is>
      </c>
      <c r="I56" s="162" t="inlineStr">
        <is>
          <t>RUA PAULINO AFONSO, 267 - CEP 25680-003</t>
        </is>
      </c>
      <c r="J56" s="162" t="inlineStr">
        <is>
          <t>(24) 2249-7206</t>
        </is>
      </c>
    </row>
    <row r="57" ht="15" customHeight="1" s="163">
      <c r="F57" s="162" t="inlineStr">
        <is>
          <t>E M DR RUBENS DE CASTRO BOMTEMPO</t>
        </is>
      </c>
      <c r="G57" s="162" t="inlineStr">
        <is>
          <t>CHÁCARA FLORA</t>
        </is>
      </c>
      <c r="H57" s="162" t="inlineStr">
        <is>
          <t>1107</t>
        </is>
      </c>
      <c r="I57" s="162" t="inlineStr">
        <is>
          <t>PERMINIO SCHMITH, S/N - CEP 25635-370</t>
        </is>
      </c>
      <c r="J57" s="162" t="inlineStr">
        <is>
          <t>(24) 2246-0113, (24) 2245-8732</t>
        </is>
      </c>
    </row>
    <row r="58" ht="15" customHeight="1" s="163">
      <c r="F58" s="162" t="inlineStr">
        <is>
          <t>CEI FREI LEÃO</t>
        </is>
      </c>
      <c r="G58" s="162" t="inlineStr">
        <is>
          <t>CHÁCARA FLORA</t>
        </is>
      </c>
      <c r="H58" s="162" t="inlineStr">
        <is>
          <t>3008</t>
        </is>
      </c>
      <c r="I58" s="162" t="inlineStr">
        <is>
          <t>PERMINIO SCHMITH, S/N - CEP 25635-370</t>
        </is>
      </c>
      <c r="J58" s="162" t="inlineStr">
        <is>
          <t>(24) 2248-6005</t>
        </is>
      </c>
    </row>
    <row r="59" ht="15" customHeight="1" s="163">
      <c r="F59" s="162" t="inlineStr">
        <is>
          <t>CEI SÃO JOÃO BATISTA</t>
        </is>
      </c>
      <c r="G59" s="162" t="inlineStr">
        <is>
          <t>DUARTE DA SILVEIRA</t>
        </is>
      </c>
      <c r="H59" s="162" t="inlineStr">
        <is>
          <t>3005</t>
        </is>
      </c>
      <c r="I59" s="162" t="inlineStr">
        <is>
          <t>RUA LUIZ WINTER, 123 - CEP 25665-431</t>
        </is>
      </c>
      <c r="J59" s="162" t="inlineStr">
        <is>
          <t>(24) 2248-9959</t>
        </is>
      </c>
    </row>
    <row r="60" ht="15" customHeight="1" s="163">
      <c r="F60" s="162" t="inlineStr">
        <is>
          <t>CEI JURACI PINTO DO AMARAL DE CASTRO</t>
        </is>
      </c>
      <c r="G60" s="162" t="inlineStr">
        <is>
          <t>DUARTE DA SILVEIRA</t>
        </is>
      </c>
      <c r="H60" s="162" t="inlineStr">
        <is>
          <t>3080</t>
        </is>
      </c>
      <c r="I60" s="162" t="inlineStr">
        <is>
          <t>RUA LUIZ WINTER, 1305 - CEP 25665-430</t>
        </is>
      </c>
      <c r="J60" s="162" t="inlineStr">
        <is>
          <t>(24) 98161-0682, (24) 2019-3597</t>
        </is>
      </c>
    </row>
    <row r="61" ht="15" customHeight="1" s="163">
      <c r="F61" s="162" t="inlineStr">
        <is>
          <t>E M PEDRO AMADO</t>
        </is>
      </c>
      <c r="G61" s="162" t="inlineStr">
        <is>
          <t>MEIO DA SERRA</t>
        </is>
      </c>
      <c r="H61" s="162" t="inlineStr">
        <is>
          <t>1088</t>
        </is>
      </c>
      <c r="I61" s="162" t="inlineStr">
        <is>
          <t>ESTRADA VELHA DA ESTRELA, 436 - CEP 25635-114</t>
        </is>
      </c>
      <c r="J61" s="162" t="inlineStr">
        <is>
          <t>(24) 2235-1735</t>
        </is>
      </c>
    </row>
    <row r="62" ht="15" customHeight="1" s="163">
      <c r="F62" s="162" t="inlineStr">
        <is>
          <t>E M ABELARDO DE LAMARE</t>
        </is>
      </c>
      <c r="G62" s="162" t="inlineStr">
        <is>
          <t>CAXAMBU</t>
        </is>
      </c>
      <c r="H62" s="162" t="inlineStr">
        <is>
          <t>1001</t>
        </is>
      </c>
      <c r="I62" s="162" t="inlineStr">
        <is>
          <t>JOSÉ ALMEIDA AMADO, 1302 - CEP 25615-081</t>
        </is>
      </c>
      <c r="J62" s="162" t="inlineStr">
        <is>
          <t>(24) 2291-0223, (24) 98139-3119</t>
        </is>
      </c>
    </row>
    <row r="63" ht="15" customHeight="1" s="163">
      <c r="F63" s="162" t="inlineStr">
        <is>
          <t>E M SENADOR MARIO MARTINS</t>
        </is>
      </c>
      <c r="G63" s="162" t="inlineStr">
        <is>
          <t>CAXAMBU</t>
        </is>
      </c>
      <c r="H63" s="162" t="inlineStr">
        <is>
          <t>1106</t>
        </is>
      </c>
      <c r="I63" s="162" t="inlineStr">
        <is>
          <t>RUA FLAVIO CAVALCANTI, S/N - CEP 25615-060</t>
        </is>
      </c>
      <c r="J63" s="162" t="inlineStr">
        <is>
          <t>(24) 2235-5478</t>
        </is>
      </c>
    </row>
    <row r="64" ht="15" customHeight="1" s="163">
      <c r="F64" s="162" t="inlineStr">
        <is>
          <t>ESCOLA PAROQUIAL SÃO PIO X</t>
        </is>
      </c>
      <c r="G64" s="162" t="inlineStr">
        <is>
          <t>CAXAMBU</t>
        </is>
      </c>
      <c r="H64" s="162" t="inlineStr">
        <is>
          <t>2030</t>
        </is>
      </c>
      <c r="I64" s="162" t="inlineStr">
        <is>
          <t>RUA LUÍS IMBROISI, 107 - CEP 25610-041</t>
        </is>
      </c>
      <c r="J64" s="162" t="inlineStr">
        <is>
          <t>(24) 2235-6740, (24) 99871-2999</t>
        </is>
      </c>
    </row>
    <row r="65" ht="15" customHeight="1" s="163">
      <c r="F65" s="162" t="inlineStr">
        <is>
          <t>CEI SÃO CHARBEL</t>
        </is>
      </c>
      <c r="G65" s="162" t="inlineStr">
        <is>
          <t>CAXAMBU</t>
        </is>
      </c>
      <c r="H65" s="162" t="inlineStr">
        <is>
          <t>4004</t>
        </is>
      </c>
      <c r="I65" s="162" t="inlineStr">
        <is>
          <t>RUA FLAVIO CAVALCANTI, S/N - CEP 25615-060</t>
        </is>
      </c>
      <c r="J65" s="162" t="inlineStr">
        <is>
          <t>(24) 2242-0027</t>
        </is>
      </c>
    </row>
    <row r="66" ht="15" customHeight="1" s="163">
      <c r="F66" s="162" t="inlineStr">
        <is>
          <t>E M ROSALINA NICOLAY</t>
        </is>
      </c>
      <c r="G66" s="162" t="inlineStr">
        <is>
          <t>SIMÉRIA</t>
        </is>
      </c>
      <c r="H66" s="162" t="inlineStr">
        <is>
          <t>1022</t>
        </is>
      </c>
      <c r="I66" s="162" t="inlineStr">
        <is>
          <t>PRESIDENTE SODRE, 1026 - CEP 25645-026</t>
        </is>
      </c>
      <c r="J66" s="162" t="inlineStr">
        <is>
          <t>(24) 2020-2919</t>
        </is>
      </c>
    </row>
    <row r="67" ht="15" customHeight="1" s="163">
      <c r="F67" s="162" t="inlineStr">
        <is>
          <t>CEI INÊS BELARMINO DE SOUZA</t>
        </is>
      </c>
      <c r="G67" s="162" t="inlineStr">
        <is>
          <t>SIMÉRIA</t>
        </is>
      </c>
      <c r="H67" s="162" t="inlineStr">
        <is>
          <t>3017</t>
        </is>
      </c>
      <c r="I67" s="162" t="inlineStr">
        <is>
          <t>RUA MANOEL FRANCISCO DE PAULA, PROX AO PSF - CEP 25645-090</t>
        </is>
      </c>
      <c r="J67" s="162" t="inlineStr">
        <is>
          <t>(24) 2247-5789, (24) 98831-8813</t>
        </is>
      </c>
    </row>
    <row r="68" ht="15" customHeight="1" s="163">
      <c r="F68" s="162" t="inlineStr">
        <is>
          <t>E M PROFª MARIA DA GLÓRIA QUEIROZ DE VASCONCELLOS</t>
        </is>
      </c>
      <c r="G68" s="162" t="inlineStr">
        <is>
          <t>INDEPENDÊNCIA</t>
        </is>
      </c>
      <c r="H68" s="162" t="inlineStr">
        <is>
          <t>1089</t>
        </is>
      </c>
      <c r="I68" s="162" t="inlineStr">
        <is>
          <t>RUA A, S/N - CEP 25645-420</t>
        </is>
      </c>
      <c r="J68" s="162" t="inlineStr">
        <is>
          <t>(24) 2291-2476, (24) 2246-5803</t>
        </is>
      </c>
    </row>
    <row r="69" ht="15" customHeight="1" s="163">
      <c r="F69" s="162" t="inlineStr">
        <is>
          <t>CENTRO EDUCACIONAL COMUNIDADE SÃO JORGE</t>
        </is>
      </c>
      <c r="G69" s="162" t="inlineStr">
        <is>
          <t>INDEPENDÊNCIA</t>
        </is>
      </c>
      <c r="H69" s="162" t="inlineStr">
        <is>
          <t>2002</t>
        </is>
      </c>
      <c r="I69" s="162" t="inlineStr">
        <is>
          <t>RUA LEONOR MAIA, 99 - CEP 25645-420</t>
        </is>
      </c>
      <c r="J69" s="162" t="inlineStr">
        <is>
          <t>(24) 99221-5056</t>
        </is>
      </c>
    </row>
    <row r="70" ht="15" customHeight="1" s="163">
      <c r="F70" s="162" t="inlineStr">
        <is>
          <t>CEI ROMANO CANAVESE</t>
        </is>
      </c>
      <c r="G70" s="162" t="inlineStr">
        <is>
          <t>INDEPENDÊNCIA</t>
        </is>
      </c>
      <c r="H70" s="162" t="inlineStr">
        <is>
          <t>3011</t>
        </is>
      </c>
      <c r="I70" s="162" t="inlineStr">
        <is>
          <t>RUA JOSÉ CHAVES, S/N - CEP 25645-255</t>
        </is>
      </c>
      <c r="J70" s="162" t="inlineStr">
        <is>
          <t>(24) 2019-5360</t>
        </is>
      </c>
    </row>
    <row r="71" ht="15" customHeight="1" s="163">
      <c r="F71" s="162" t="inlineStr">
        <is>
          <t>CEI CÉLIA LÔBO PAULO</t>
        </is>
      </c>
      <c r="G71" s="162" t="inlineStr">
        <is>
          <t>INDEPENDÊNCIA</t>
        </is>
      </c>
      <c r="H71" s="162" t="inlineStr">
        <is>
          <t>3040</t>
        </is>
      </c>
      <c r="I71" s="162" t="inlineStr">
        <is>
          <t>ESTRADA DO INDEPENDÊNCIA, 1230 - CEP 25645-343</t>
        </is>
      </c>
      <c r="J71" s="162" t="inlineStr">
        <is>
          <t>(24) 2020-2683, (24) 99986-5289</t>
        </is>
      </c>
    </row>
    <row r="72" ht="15" customHeight="1" s="163">
      <c r="F72" s="162" t="inlineStr">
        <is>
          <t>CEI PROFª DORA KILLER</t>
        </is>
      </c>
      <c r="G72" s="162" t="inlineStr">
        <is>
          <t>INDEPENDÊNCIA</t>
        </is>
      </c>
      <c r="H72" s="162" t="inlineStr">
        <is>
          <t>3053</t>
        </is>
      </c>
      <c r="I72" s="162" t="inlineStr">
        <is>
          <t>RUA EMÍLIO ZALUAR, 314 - CEP 25645-280</t>
        </is>
      </c>
      <c r="J72" s="162" t="inlineStr">
        <is>
          <t>(24) 2244-7248</t>
        </is>
      </c>
    </row>
    <row r="73" ht="15" customHeight="1" s="163">
      <c r="F73" s="162" t="inlineStr">
        <is>
          <t>CEI ALTO INDEPENDÊNCIA</t>
        </is>
      </c>
      <c r="G73" s="162" t="inlineStr">
        <is>
          <t>INDEPENDÊNCIA</t>
        </is>
      </c>
      <c r="H73" s="162" t="inlineStr">
        <is>
          <t>4001</t>
        </is>
      </c>
      <c r="I73" s="162" t="inlineStr">
        <is>
          <t>RUA LEONOR MAIA, 56 - CEP 25645-420</t>
        </is>
      </c>
      <c r="J73" s="162" t="inlineStr">
        <is>
          <t>(24) 99281-9360, (24) 2020-3699</t>
        </is>
      </c>
    </row>
    <row r="74" ht="15" customHeight="1" s="163">
      <c r="F74" s="162" t="inlineStr">
        <is>
          <t>E M ALTO INDEPENDÊNCIA</t>
        </is>
      </c>
      <c r="G74" s="162" t="inlineStr">
        <is>
          <t>ALTO INDEPENDÊNCIA</t>
        </is>
      </c>
      <c r="H74" s="162" t="inlineStr">
        <is>
          <t>1084</t>
        </is>
      </c>
      <c r="I74" s="162" t="inlineStr">
        <is>
          <t>LEONOR MAIA, 1670 - CEP 25645-420</t>
        </is>
      </c>
      <c r="J74" s="162" t="inlineStr">
        <is>
          <t>(24) 2246-9094, (24) 2247-2235</t>
        </is>
      </c>
    </row>
    <row r="75" ht="15" customHeight="1" s="163">
      <c r="F75" s="162" t="inlineStr">
        <is>
          <t>E M PAPA JOÃO PAULO II</t>
        </is>
      </c>
      <c r="G75" s="162" t="inlineStr">
        <is>
          <t>SÃO SEBASTIÃO</t>
        </is>
      </c>
      <c r="H75" s="162" t="inlineStr">
        <is>
          <t>1103</t>
        </is>
      </c>
      <c r="I75" s="162" t="inlineStr">
        <is>
          <t>SÃO SEBASTIÃO, 625 - CEP 25645-045</t>
        </is>
      </c>
      <c r="J75" s="162" t="inlineStr">
        <is>
          <t>(24) 2291-2244</t>
        </is>
      </c>
    </row>
    <row r="76" ht="15" customHeight="1" s="163">
      <c r="F76" s="162" t="inlineStr">
        <is>
          <t>CEI ANDRÉ REBOUÇAS</t>
        </is>
      </c>
      <c r="G76" s="162" t="inlineStr">
        <is>
          <t>SÃO SEBASTIÃO</t>
        </is>
      </c>
      <c r="H76" s="162" t="inlineStr">
        <is>
          <t>3034</t>
        </is>
      </c>
      <c r="I76" s="162" t="inlineStr">
        <is>
          <t>RUA FRANKLIN ROOSEVELT, 11 - CEP 25645-123</t>
        </is>
      </c>
      <c r="J76" s="162" t="inlineStr">
        <is>
          <t>(24) 2020-2818</t>
        </is>
      </c>
    </row>
    <row r="77" ht="15" customHeight="1" s="163">
      <c r="F77" s="162" t="inlineStr">
        <is>
          <t>CEI PROFª HERMÍNIA MATHEUS</t>
        </is>
      </c>
      <c r="G77" s="162" t="inlineStr">
        <is>
          <t>SÃO SEBASTIÃO</t>
        </is>
      </c>
      <c r="H77" s="162" t="inlineStr">
        <is>
          <t>3065</t>
        </is>
      </c>
      <c r="I77" s="162" t="inlineStr">
        <is>
          <t>RUA FLORINDO DUARTE, S/N - CEP 25645-707</t>
        </is>
      </c>
      <c r="J77" s="162" t="inlineStr">
        <is>
          <t>(24) 2291-6426, (24) 2020-5903</t>
        </is>
      </c>
    </row>
    <row r="78" ht="15" customHeight="1" s="163">
      <c r="F78" s="162" t="inlineStr">
        <is>
          <t>E M MAJOR JÚLIO FREDERICO KOELER</t>
        </is>
      </c>
      <c r="G78" s="162" t="inlineStr">
        <is>
          <t>RETIRO</t>
        </is>
      </c>
      <c r="H78" s="162" t="inlineStr">
        <is>
          <t>1035</t>
        </is>
      </c>
      <c r="I78" s="162" t="inlineStr">
        <is>
          <t>RUA FELIPE CAMARÃO, 374 - CEP 25680-510</t>
        </is>
      </c>
      <c r="J78" s="162" t="inlineStr">
        <is>
          <t>(24) 2017-0495</t>
        </is>
      </c>
    </row>
    <row r="79" ht="15" customHeight="1" s="163">
      <c r="F79" s="162" t="inlineStr">
        <is>
          <t>E M ALMIRANTE TAMANDARÉ</t>
        </is>
      </c>
      <c r="G79" s="162" t="inlineStr">
        <is>
          <t>RETIRO</t>
        </is>
      </c>
      <c r="H79" s="162" t="inlineStr">
        <is>
          <t>1085</t>
        </is>
      </c>
      <c r="I79" s="162" t="inlineStr">
        <is>
          <t>DR. HERMOGÊNEO SILVA, S/N - CEP 25715-059</t>
        </is>
      </c>
      <c r="J79" s="162" t="inlineStr">
        <is>
          <t>(24) 2246-0794, (24) 97400-1730</t>
        </is>
      </c>
    </row>
    <row r="80" ht="15" customHeight="1" s="163">
      <c r="F80" s="162" t="inlineStr">
        <is>
          <t>ESCOLA PAROQUIAL CARLOS DEMIÁ</t>
        </is>
      </c>
      <c r="G80" s="162" t="inlineStr">
        <is>
          <t>RETIRO</t>
        </is>
      </c>
      <c r="H80" s="162" t="inlineStr">
        <is>
          <t>2016</t>
        </is>
      </c>
      <c r="I80" s="162" t="inlineStr">
        <is>
          <t>RUA FERNANDES VIEIRA, 110 - CEP 25680-386</t>
        </is>
      </c>
      <c r="J80" s="162" t="inlineStr">
        <is>
          <t>(24) 2017-6633</t>
        </is>
      </c>
    </row>
    <row r="81" ht="15" customHeight="1" s="163">
      <c r="F81" s="162" t="inlineStr">
        <is>
          <t>CENTRO PAROQUIAL DE EDUCAÇÃO INFANTIL NOSSA SENHORA APARECIDA</t>
        </is>
      </c>
      <c r="G81" s="162" t="inlineStr">
        <is>
          <t>RETIRO</t>
        </is>
      </c>
      <c r="H81" s="162" t="inlineStr">
        <is>
          <t>3024</t>
        </is>
      </c>
      <c r="I81" s="162" t="inlineStr">
        <is>
          <t>DR HANS BISTRISCHAN, S/N - CEP 25680-400</t>
        </is>
      </c>
      <c r="J81" s="162" t="inlineStr">
        <is>
          <t>(24) 2020-5311</t>
        </is>
      </c>
    </row>
    <row r="82" ht="15" customHeight="1" s="163">
      <c r="F82" s="162" t="inlineStr">
        <is>
          <t>CEI IRMÃ SILVANA</t>
        </is>
      </c>
      <c r="G82" s="162" t="inlineStr">
        <is>
          <t>RETIRO</t>
        </is>
      </c>
      <c r="H82" s="162" t="inlineStr">
        <is>
          <t>3029</t>
        </is>
      </c>
      <c r="I82" s="162" t="inlineStr">
        <is>
          <t>RUA FELIPE CAMARÃO, 310 - CEP 25680-995</t>
        </is>
      </c>
      <c r="J82" s="162" t="inlineStr">
        <is>
          <t>(24) 2020-1037, (24) 98867-9639</t>
        </is>
      </c>
    </row>
    <row r="83" ht="15" customHeight="1" s="163">
      <c r="F83" s="162" t="inlineStr">
        <is>
          <t>CEI OLÍVIA MACHADO DA COSTA NOGUEIRA</t>
        </is>
      </c>
      <c r="G83" s="162" t="inlineStr">
        <is>
          <t>RETIRO</t>
        </is>
      </c>
      <c r="H83" s="162" t="inlineStr">
        <is>
          <t>3048</t>
        </is>
      </c>
      <c r="I83" s="162" t="inlineStr">
        <is>
          <t>RUA HENRIQUE DIAS, 100 - CEP 25680-301</t>
        </is>
      </c>
      <c r="J83" s="162" t="inlineStr">
        <is>
          <t>(24) 2246-8737, (24) 2020-9938</t>
        </is>
      </c>
    </row>
    <row r="84" ht="15" customHeight="1" s="163">
      <c r="F84" s="162" t="inlineStr">
        <is>
          <t>E M GOVERNADOR MARCELLO ALENCAR</t>
        </is>
      </c>
      <c r="G84" s="162" t="inlineStr">
        <is>
          <t>QUITANDINHA</t>
        </is>
      </c>
      <c r="H84" s="162" t="inlineStr">
        <is>
          <t>1017</t>
        </is>
      </c>
      <c r="I84" s="162" t="inlineStr">
        <is>
          <t>RUA AMARAL PEIXOTO, S/N - CEP 25651-010</t>
        </is>
      </c>
      <c r="J84" s="162" t="inlineStr">
        <is>
          <t>(24) 2245-7780</t>
        </is>
      </c>
    </row>
    <row r="85" ht="15" customHeight="1" s="163">
      <c r="F85" s="162" t="inlineStr">
        <is>
          <t>E M PROFESSOR FLÁVIO MACIEL</t>
        </is>
      </c>
      <c r="G85" s="162" t="inlineStr">
        <is>
          <t>QUITANDINHA</t>
        </is>
      </c>
      <c r="H85" s="162" t="inlineStr">
        <is>
          <t>1093</t>
        </is>
      </c>
      <c r="I85" s="162" t="inlineStr">
        <is>
          <t>RUA AMARAL PEIXOTO, S/N - CEP 25651-010</t>
        </is>
      </c>
      <c r="J85" s="162" t="inlineStr">
        <is>
          <t>(24) 2237-2567</t>
        </is>
      </c>
    </row>
    <row r="86" ht="15" customHeight="1" s="163">
      <c r="F86" s="162" t="inlineStr">
        <is>
          <t>E M PROFª JANDIRA PEIXOTO BORDIGNON</t>
        </is>
      </c>
      <c r="G86" s="162" t="inlineStr">
        <is>
          <t>QUITANDINHA</t>
        </is>
      </c>
      <c r="H86" s="162" t="inlineStr">
        <is>
          <t>1098</t>
        </is>
      </c>
      <c r="I86" s="162" t="inlineStr">
        <is>
          <t>GETULIO VARGAS, 2200 - CEP 25651-078</t>
        </is>
      </c>
      <c r="J86" s="162" t="inlineStr">
        <is>
          <t>(24) 2242-9167, (24) 99270-3951</t>
        </is>
      </c>
    </row>
    <row r="87" ht="15" customHeight="1" s="163">
      <c r="F87" s="162" t="inlineStr">
        <is>
          <t>E M STEFAN ZWEIG</t>
        </is>
      </c>
      <c r="G87" s="162" t="inlineStr">
        <is>
          <t>QUITANDINHA</t>
        </is>
      </c>
      <c r="H87" s="162" t="inlineStr">
        <is>
          <t>1105</t>
        </is>
      </c>
      <c r="I87" s="162" t="inlineStr">
        <is>
          <t>RUA SERGIPE, 49 - CEP 25730-710</t>
        </is>
      </c>
      <c r="J87" s="162" t="inlineStr">
        <is>
          <t>(24) 2245-6737</t>
        </is>
      </c>
    </row>
    <row r="88" ht="15" customHeight="1" s="163">
      <c r="F88" s="162" t="inlineStr">
        <is>
          <t>ESCOLA PAROQUIAL BOM JESUS</t>
        </is>
      </c>
      <c r="G88" s="162" t="inlineStr">
        <is>
          <t>QUITANDINHA</t>
        </is>
      </c>
      <c r="H88" s="162" t="inlineStr">
        <is>
          <t>2015</t>
        </is>
      </c>
      <c r="I88" s="162" t="inlineStr">
        <is>
          <t>RUA DR. THOUZET, 820 - CEP 25650-061</t>
        </is>
      </c>
      <c r="J88" s="162" t="inlineStr">
        <is>
          <t>(24) 2243-0980, (24) 99330-6600</t>
        </is>
      </c>
    </row>
    <row r="89" ht="15" customHeight="1" s="163">
      <c r="F89" s="162" t="inlineStr">
        <is>
          <t>CEI MARLI SOARES FERREIRA NETTO</t>
        </is>
      </c>
      <c r="G89" s="162" t="inlineStr">
        <is>
          <t>QUITANDINHA</t>
        </is>
      </c>
      <c r="H89" s="162" t="inlineStr">
        <is>
          <t>3030</t>
        </is>
      </c>
      <c r="I89" s="162" t="inlineStr">
        <is>
          <t>DR.THOUZET/SRV.DHÁLIA J.SILVA, S/N - CEP 25650-061</t>
        </is>
      </c>
      <c r="J89" s="162" t="inlineStr">
        <is>
          <t>(24) 2019-7367</t>
        </is>
      </c>
    </row>
    <row r="90" ht="15" customHeight="1" s="163">
      <c r="F90" s="162" t="inlineStr">
        <is>
          <t>CENTRO DE EDUCAÇÃO INFANTIL CHIQUINHA ROLLA</t>
        </is>
      </c>
      <c r="G90" s="162" t="inlineStr">
        <is>
          <t>QUITANDINHA</t>
        </is>
      </c>
      <c r="H90" s="162" t="inlineStr">
        <is>
          <t>3035</t>
        </is>
      </c>
      <c r="I90" s="162" t="inlineStr">
        <is>
          <t>RUA CAMPOS, 1 - CEP 25651-030</t>
        </is>
      </c>
      <c r="J90" s="162" t="inlineStr">
        <is>
          <t>(24) 2242-7437</t>
        </is>
      </c>
    </row>
    <row r="91" ht="15" customHeight="1" s="163">
      <c r="F91" s="162" t="inlineStr">
        <is>
          <t>CEI VILA IPANEMA</t>
        </is>
      </c>
      <c r="G91" s="162" t="inlineStr">
        <is>
          <t>QUITANDINHA</t>
        </is>
      </c>
      <c r="H91" s="162" t="inlineStr">
        <is>
          <t>3049</t>
        </is>
      </c>
      <c r="I91" s="162" t="inlineStr">
        <is>
          <t>RUA VASSOURAS, S/N - CEP 25650-500</t>
        </is>
      </c>
      <c r="J91" s="162" t="inlineStr">
        <is>
          <t>(24) 2235-1036</t>
        </is>
      </c>
    </row>
    <row r="92" ht="15" customHeight="1" s="163">
      <c r="F92" s="162" t="inlineStr">
        <is>
          <t>E M ROBERT KENNEDY</t>
        </is>
      </c>
      <c r="G92" s="162" t="inlineStr">
        <is>
          <t>CASTELÂNEA</t>
        </is>
      </c>
      <c r="H92" s="162" t="inlineStr">
        <is>
          <t>1020</t>
        </is>
      </c>
      <c r="I92" s="162" t="inlineStr">
        <is>
          <t>RUA CRISTOVÃO COLOMBO, 783 - CEP 25640-322</t>
        </is>
      </c>
      <c r="J92" s="162" t="inlineStr">
        <is>
          <t>(24) 2020-8959</t>
        </is>
      </c>
    </row>
    <row r="93" ht="15" customHeight="1" s="163">
      <c r="F93" s="162" t="inlineStr">
        <is>
          <t>E M ANA MOHAMMAD</t>
        </is>
      </c>
      <c r="G93" s="162" t="inlineStr">
        <is>
          <t>CASTELÂNEA</t>
        </is>
      </c>
      <c r="H93" s="162" t="inlineStr">
        <is>
          <t>1083</t>
        </is>
      </c>
      <c r="I93" s="162" t="inlineStr">
        <is>
          <t>ESTRADA DO PARAÍSO, 701 - CEP 25635-410</t>
        </is>
      </c>
      <c r="J93" s="162" t="inlineStr">
        <is>
          <t>(24) 2248-6206</t>
        </is>
      </c>
    </row>
    <row r="94" ht="15" customHeight="1" s="163">
      <c r="F94" s="162" t="inlineStr">
        <is>
          <t>ESCOLA SÃO CRISTÓVÃO</t>
        </is>
      </c>
      <c r="G94" s="162" t="inlineStr">
        <is>
          <t>CASTELÂNEA</t>
        </is>
      </c>
      <c r="H94" s="162" t="inlineStr">
        <is>
          <t>2025</t>
        </is>
      </c>
      <c r="I94" s="162" t="inlineStr">
        <is>
          <t>PRAÇA PASTEUR, 79 - CEP 25640-040</t>
        </is>
      </c>
      <c r="J94" s="162" t="inlineStr">
        <is>
          <t>(24) 2245-9752</t>
        </is>
      </c>
    </row>
    <row r="95" ht="15" customHeight="1" s="163">
      <c r="F95" s="162" t="inlineStr">
        <is>
          <t>CEI DÉA LÚCIA CORDEIRO</t>
        </is>
      </c>
      <c r="G95" s="162" t="inlineStr">
        <is>
          <t>CASTELÂNEA</t>
        </is>
      </c>
      <c r="H95" s="162" t="inlineStr">
        <is>
          <t>3027</t>
        </is>
      </c>
      <c r="I95" s="162" t="inlineStr">
        <is>
          <t>RUA CRISTOVÃO COLOMBO, 153 - CEP 25640-322</t>
        </is>
      </c>
      <c r="J95" s="162" t="inlineStr">
        <is>
          <t>(24) 2231-0268</t>
        </is>
      </c>
    </row>
    <row r="96" ht="15" customHeight="1" s="163">
      <c r="F96" s="162" t="inlineStr">
        <is>
          <t>CEI SAGRADA FAMÍLIA</t>
        </is>
      </c>
      <c r="G96" s="162" t="inlineStr">
        <is>
          <t>CASTELÂNEA</t>
        </is>
      </c>
      <c r="H96" s="162" t="inlineStr">
        <is>
          <t>3064</t>
        </is>
      </c>
      <c r="I96" s="162" t="inlineStr">
        <is>
          <t>ESTRADA DO PARAÍSO, PROX AO 715 - CEP 25635-410</t>
        </is>
      </c>
      <c r="J96" s="162" t="inlineStr">
        <is>
          <t>(24) 98821-2940, (24) 2248-6309</t>
        </is>
      </c>
    </row>
    <row r="97" ht="15" customHeight="1" s="163">
      <c r="F97" s="162" t="inlineStr">
        <is>
          <t>CEI SÃO JOSÉ DAS OBLATAS DE NAZARÉ</t>
        </is>
      </c>
      <c r="G97" s="162" t="inlineStr">
        <is>
          <t>CASTELÂNEA</t>
        </is>
      </c>
      <c r="H97" s="162" t="inlineStr">
        <is>
          <t>4002</t>
        </is>
      </c>
      <c r="I97" s="162" t="inlineStr">
        <is>
          <t>RUA OLAVO BILAC, 815 - CEP 25640-511</t>
        </is>
      </c>
      <c r="J97" s="162" t="inlineStr">
        <is>
          <t>(24) 2231-0256, (24) 98819-1505</t>
        </is>
      </c>
    </row>
    <row r="98" ht="15" customHeight="1" s="163">
      <c r="F98" s="162" t="inlineStr">
        <is>
          <t>E M JORGE AMADO</t>
        </is>
      </c>
      <c r="G98" s="162" t="inlineStr">
        <is>
          <t>CASCATINHA</t>
        </is>
      </c>
      <c r="H98" s="162" t="inlineStr">
        <is>
          <t>1030</t>
        </is>
      </c>
      <c r="I98" s="162" t="inlineStr">
        <is>
          <t>ESTRADA DA SAUDADE, 1397 - CEP 25610-351</t>
        </is>
      </c>
      <c r="J98" s="162" t="inlineStr">
        <is>
          <t>(24) 2242-1234, (24) 98845-1441</t>
        </is>
      </c>
    </row>
    <row r="99" ht="15" customHeight="1" s="163">
      <c r="F99" s="162" t="inlineStr">
        <is>
          <t>E M FÁBRICA DO SABER</t>
        </is>
      </c>
      <c r="G99" s="162" t="inlineStr">
        <is>
          <t>CASCATINHA</t>
        </is>
      </c>
      <c r="H99" s="162" t="inlineStr">
        <is>
          <t>1038</t>
        </is>
      </c>
      <c r="I99" s="162" t="inlineStr">
        <is>
          <t>RUA MACHADO FAGUNDES, 269 - CEP 25716-001</t>
        </is>
      </c>
      <c r="J99" s="162" t="inlineStr">
        <is>
          <t>(24) 2291-6160, (24) 2231-6591</t>
        </is>
      </c>
    </row>
    <row r="100" ht="15" customHeight="1" s="163">
      <c r="F100" s="162" t="inlineStr">
        <is>
          <t>CIEP BRIZOLÃO 474 MAESTRO GUERRA PEIXE - MUNICIPALIZADO</t>
        </is>
      </c>
      <c r="G100" s="162" t="inlineStr">
        <is>
          <t>CASCATINHA</t>
        </is>
      </c>
      <c r="H100" s="162" t="inlineStr">
        <is>
          <t>1112</t>
        </is>
      </c>
      <c r="I100" s="162" t="inlineStr">
        <is>
          <t>RUA BERNARDO PROENÇA, 809 - CEP 25710-082</t>
        </is>
      </c>
      <c r="J100" s="162" t="inlineStr">
        <is>
          <t>(24) 2237-9893</t>
        </is>
      </c>
    </row>
    <row r="101" ht="15" customHeight="1" s="163">
      <c r="F101" s="162" t="inlineStr">
        <is>
          <t>CENTRO DE ENSINO PROF DARCY RIBEIRO</t>
        </is>
      </c>
      <c r="G101" s="162" t="inlineStr">
        <is>
          <t>CASCATINHA</t>
        </is>
      </c>
      <c r="H101" s="162" t="inlineStr">
        <is>
          <t>1113</t>
        </is>
      </c>
      <c r="I101" s="162" t="inlineStr">
        <is>
          <t>RUA MACHADO FAGUNDES, 326 - CEP 25761-001</t>
        </is>
      </c>
      <c r="J101" s="162" t="inlineStr">
        <is>
          <t>(24) 2246-2392</t>
        </is>
      </c>
    </row>
    <row r="102" ht="15" customHeight="1" s="163">
      <c r="F102" s="162" t="inlineStr">
        <is>
          <t>CEI ANDRÉ VANZAN</t>
        </is>
      </c>
      <c r="G102" s="162" t="inlineStr">
        <is>
          <t>CASCATINHA</t>
        </is>
      </c>
      <c r="H102" s="162" t="inlineStr">
        <is>
          <t>3012</t>
        </is>
      </c>
      <c r="I102" s="162" t="inlineStr">
        <is>
          <t>RUA BERNARDO PROENÇA, 809 - CEP 25710-082</t>
        </is>
      </c>
      <c r="J102" s="162" t="inlineStr">
        <is>
          <t>(24) 99254-2954, (24) 2280-4330</t>
        </is>
      </c>
    </row>
    <row r="103" ht="15" customHeight="1" s="163">
      <c r="F103" s="162" t="inlineStr">
        <is>
          <t>CENTRO DE EDUCAÇÃO INFANTIL CAROLINA AMORIM</t>
        </is>
      </c>
      <c r="G103" s="162" t="inlineStr">
        <is>
          <t>CASCATINHA</t>
        </is>
      </c>
      <c r="H103" s="162" t="inlineStr">
        <is>
          <t>3028</t>
        </is>
      </c>
      <c r="I103" s="162" t="inlineStr">
        <is>
          <t>RUA MACHADO FAGUNDES, 326 - CEP 25716-001</t>
        </is>
      </c>
      <c r="J103" s="162" t="inlineStr">
        <is>
          <t>(24) 2020-2062</t>
        </is>
      </c>
    </row>
    <row r="104" ht="15" customHeight="1" s="163">
      <c r="F104" s="162" t="inlineStr">
        <is>
          <t>CEI BOA VISTA</t>
        </is>
      </c>
      <c r="G104" s="162" t="inlineStr">
        <is>
          <t>CASCATINHA</t>
        </is>
      </c>
      <c r="H104" s="162" t="inlineStr">
        <is>
          <t>3072</t>
        </is>
      </c>
      <c r="I104" s="162" t="inlineStr">
        <is>
          <t>SERV. FRANCISCO JACINTO DO AMARAL, LOTE 11 - CEP 25716-242</t>
        </is>
      </c>
      <c r="J104" s="162" t="inlineStr">
        <is>
          <t>(24) 2235-1057</t>
        </is>
      </c>
    </row>
    <row r="105" ht="15" customHeight="1" s="163">
      <c r="F105" s="162" t="inlineStr">
        <is>
          <t>ASSOCIAÇÃO DA CRECHE SÃO FRANCISCO DE ASSIS</t>
        </is>
      </c>
      <c r="G105" s="162" t="inlineStr">
        <is>
          <t>CASCATINHA</t>
        </is>
      </c>
      <c r="H105" s="162" t="inlineStr">
        <is>
          <t>4005</t>
        </is>
      </c>
      <c r="I105" s="162" t="inlineStr">
        <is>
          <t>RUA VERIDIANO FELIX, 79 - CEP 25610-200</t>
        </is>
      </c>
      <c r="J105" s="162" t="inlineStr">
        <is>
          <t>(24) 2243-0629</t>
        </is>
      </c>
    </row>
    <row r="106" ht="15" customHeight="1" s="163">
      <c r="F106" s="162" t="inlineStr">
        <is>
          <t>E M PAULO SALDANHA</t>
        </is>
      </c>
      <c r="G106" s="162" t="inlineStr">
        <is>
          <t>ESTRADA DA SAUDADE</t>
        </is>
      </c>
      <c r="H106" s="162" t="inlineStr">
        <is>
          <t>1094</t>
        </is>
      </c>
      <c r="I106" s="162" t="inlineStr">
        <is>
          <t>ESTRADA DA SAUDADE, S/N PROX AO 941 - CEP 25610-106</t>
        </is>
      </c>
      <c r="J106" s="162" t="inlineStr">
        <is>
          <t>(24) 2020-4309</t>
        </is>
      </c>
    </row>
    <row r="107" ht="15" customHeight="1" s="163">
      <c r="F107" s="162" t="inlineStr">
        <is>
          <t>E M LÚCIA DE ALMEIDA BRAGA</t>
        </is>
      </c>
      <c r="G107" s="162" t="inlineStr">
        <is>
          <t>CARANGOLA</t>
        </is>
      </c>
      <c r="H107" s="162" t="inlineStr">
        <is>
          <t>1033</t>
        </is>
      </c>
      <c r="I107" s="162" t="inlineStr">
        <is>
          <t>WALDEMAR VIEIRA AFONSO, 7 - CEP 25715-402</t>
        </is>
      </c>
      <c r="J107" s="162" t="inlineStr">
        <is>
          <t>(24) 99218-8513, (24) 2231-4691</t>
        </is>
      </c>
    </row>
    <row r="108" ht="15" customHeight="1" s="163">
      <c r="F108" s="162" t="inlineStr">
        <is>
          <t>E M DOM MANOEL PEDRO DA CUNHA CINTRA</t>
        </is>
      </c>
      <c r="G108" s="162" t="inlineStr">
        <is>
          <t>CARANGOLA</t>
        </is>
      </c>
      <c r="H108" s="162" t="inlineStr">
        <is>
          <t>1100</t>
        </is>
      </c>
      <c r="I108" s="162" t="inlineStr">
        <is>
          <t>DR. JACOB BORDIGNOM, S/N - CEP 25715-280</t>
        </is>
      </c>
      <c r="J108" s="162" t="inlineStr">
        <is>
          <t>(24) 2017-3542</t>
        </is>
      </c>
    </row>
    <row r="109" ht="15" customHeight="1" s="163">
      <c r="F109" s="162" t="inlineStr">
        <is>
          <t>ESCOLA SÃO GERALDO</t>
        </is>
      </c>
      <c r="G109" s="162" t="inlineStr">
        <is>
          <t>CARANGOLA</t>
        </is>
      </c>
      <c r="H109" s="162" t="inlineStr">
        <is>
          <t>2041</t>
        </is>
      </c>
      <c r="I109" s="162" t="inlineStr">
        <is>
          <t>ESTRADA DIVINO ESPÍRITO SANTO, 740 - CEP 25715-410</t>
        </is>
      </c>
      <c r="J109" s="162" t="inlineStr">
        <is>
          <t>(24) 2020-4604</t>
        </is>
      </c>
    </row>
    <row r="110" ht="15" customHeight="1" s="163">
      <c r="F110" s="162" t="inlineStr">
        <is>
          <t>CEI LULU MONTEIRO DE CASTRO</t>
        </is>
      </c>
      <c r="G110" s="162" t="inlineStr">
        <is>
          <t>CARANGOLA</t>
        </is>
      </c>
      <c r="H110" s="162" t="inlineStr">
        <is>
          <t>3004</t>
        </is>
      </c>
      <c r="I110" s="162" t="inlineStr">
        <is>
          <t>RUA DA CRECHE, 1 - CEP 25715-408</t>
        </is>
      </c>
      <c r="J110" s="162" t="inlineStr">
        <is>
          <t>(24) 99214-9514, (24) 2291-8324</t>
        </is>
      </c>
    </row>
    <row r="111" ht="15" customHeight="1" s="163">
      <c r="F111" s="162" t="inlineStr">
        <is>
          <t>CEI CARANGOLA</t>
        </is>
      </c>
      <c r="G111" s="162" t="inlineStr">
        <is>
          <t>CARANGOLA</t>
        </is>
      </c>
      <c r="H111" s="162" t="inlineStr">
        <is>
          <t>3039</t>
        </is>
      </c>
      <c r="I111" s="162" t="inlineStr">
        <is>
          <t>ESTRADA DO CARANGOLA, 933 - CEP 25715-221</t>
        </is>
      </c>
      <c r="J111" s="162" t="inlineStr">
        <is>
          <t>(24) 2246-9229</t>
        </is>
      </c>
    </row>
    <row r="112" ht="15" customHeight="1" s="163">
      <c r="F112" s="162" t="inlineStr">
        <is>
          <t>ASSOCIAÇÃO RECREAR</t>
        </is>
      </c>
      <c r="G112" s="162" t="inlineStr">
        <is>
          <t>CARANGOLA</t>
        </is>
      </c>
      <c r="H112" s="162" t="inlineStr">
        <is>
          <t>4007</t>
        </is>
      </c>
      <c r="I112" s="162" t="inlineStr">
        <is>
          <t>ESTRADA DIVINO ESPÍRITO SANTO, 377 - CEP 25715-410</t>
        </is>
      </c>
      <c r="J112" s="162" t="inlineStr">
        <is>
          <t>(24) 2242-4376, (24) 98856-3757</t>
        </is>
      </c>
    </row>
    <row r="113" ht="15" customHeight="1" s="163">
      <c r="F113" s="162" t="inlineStr">
        <is>
          <t>CENTRO DE EDUCAÇÃO INFANTIL CASA DA PAZ</t>
        </is>
      </c>
      <c r="G113" s="162" t="inlineStr">
        <is>
          <t>VALE DO CARANGOLA</t>
        </is>
      </c>
      <c r="H113" s="162" t="inlineStr">
        <is>
          <t>3051</t>
        </is>
      </c>
      <c r="I113" s="162" t="inlineStr">
        <is>
          <t>RUA DA CRECHE, 14 - CEP 25715-408</t>
        </is>
      </c>
      <c r="J113" s="162" t="inlineStr">
        <is>
          <t>(24) 2006-0195, (24) 98812-1821</t>
        </is>
      </c>
    </row>
    <row r="114" ht="15" customHeight="1" s="163">
      <c r="F114" s="162" t="inlineStr">
        <is>
          <t>E M ROSEMIRA DE OLIVEIRA CAVALCANTI</t>
        </is>
      </c>
      <c r="G114" s="162" t="inlineStr">
        <is>
          <t>ITAMARATI</t>
        </is>
      </c>
      <c r="H114" s="162" t="inlineStr">
        <is>
          <t>1042</t>
        </is>
      </c>
      <c r="I114" s="162" t="inlineStr">
        <is>
          <t>RUA JOÃO DE FARIAS, S/N - CEP 25710-094</t>
        </is>
      </c>
      <c r="J114" s="162" t="inlineStr">
        <is>
          <t>(24) 2242-3013, (24) 98810-0009</t>
        </is>
      </c>
    </row>
    <row r="115" ht="15" customHeight="1" s="163">
      <c r="F115" s="162" t="inlineStr">
        <is>
          <t>E MZDA CARMEM NUNES MARTINS</t>
        </is>
      </c>
      <c r="G115" s="162" t="inlineStr">
        <is>
          <t>ITAMARATI</t>
        </is>
      </c>
      <c r="H115" s="162" t="inlineStr">
        <is>
          <t>1075</t>
        </is>
      </c>
      <c r="I115" s="162" t="inlineStr">
        <is>
          <t>RUA DR. JOÃO BARCELOS, 687 - CEP 25615-171</t>
        </is>
      </c>
      <c r="J115" s="162" t="inlineStr">
        <is>
          <t>(24) 2244-7848, (24) 98815-3826</t>
        </is>
      </c>
    </row>
    <row r="116" ht="15" customHeight="1" s="163">
      <c r="F116" s="162" t="inlineStr">
        <is>
          <t>CEI SÃO JOSÉ DO ITAMARATI</t>
        </is>
      </c>
      <c r="G116" s="162" t="inlineStr">
        <is>
          <t>ITAMARATI</t>
        </is>
      </c>
      <c r="H116" s="162" t="inlineStr">
        <is>
          <t>4006</t>
        </is>
      </c>
      <c r="I116" s="162" t="inlineStr">
        <is>
          <t>QUISSAMÃ, 2012 - CEP 25615-532</t>
        </is>
      </c>
      <c r="J116" s="162" t="inlineStr">
        <is>
          <t>(24) 2249-3816</t>
        </is>
      </c>
    </row>
    <row r="117" ht="15" customHeight="1" s="163">
      <c r="F117" s="162" t="inlineStr">
        <is>
          <t>E M DUQUE DE CAXIAS</t>
        </is>
      </c>
      <c r="G117" s="162" t="inlineStr">
        <is>
          <t>QUISSAMÃ</t>
        </is>
      </c>
      <c r="H117" s="162" t="inlineStr">
        <is>
          <t>1008</t>
        </is>
      </c>
      <c r="I117" s="162" t="inlineStr">
        <is>
          <t>TRAVESSA LUCIANO CAMAROTA, 78 - CEP 25615-390</t>
        </is>
      </c>
      <c r="J117" s="162" t="inlineStr">
        <is>
          <t>(24) 2247-0070, (24) 98816-4280</t>
        </is>
      </c>
    </row>
    <row r="118" ht="15" customHeight="1" s="163">
      <c r="F118" s="162" t="inlineStr">
        <is>
          <t>CENTRO DE EDUCAÇÃO INFANTIL PROFESSORA ANNA MARIA NARDI</t>
        </is>
      </c>
      <c r="G118" s="162" t="inlineStr">
        <is>
          <t>QUISSAMÃ</t>
        </is>
      </c>
      <c r="H118" s="162" t="inlineStr">
        <is>
          <t>3070</t>
        </is>
      </c>
      <c r="I118" s="162" t="inlineStr">
        <is>
          <t>QUISSAMÃ, 375 - CEP 25615-411</t>
        </is>
      </c>
      <c r="J118" s="162" t="inlineStr">
        <is>
          <t>(24) 2246-2656, (24) 99319-8398</t>
        </is>
      </c>
    </row>
    <row r="119" ht="15" customHeight="1" s="163">
      <c r="F119" s="162" t="inlineStr">
        <is>
          <t>E M ANTÔNIO LEITE GARCIA</t>
        </is>
      </c>
      <c r="G119" s="162" t="inlineStr">
        <is>
          <t>SAMAMBAIA</t>
        </is>
      </c>
      <c r="H119" s="162" t="inlineStr">
        <is>
          <t>1028</t>
        </is>
      </c>
      <c r="I119" s="162" t="inlineStr">
        <is>
          <t>ESTRADA DO SAMAMBAIA, 44 - CEP 25710-372</t>
        </is>
      </c>
      <c r="J119" s="162" t="inlineStr">
        <is>
          <t>(24) 2280-4336</t>
        </is>
      </c>
    </row>
    <row r="120" ht="15" customHeight="1" s="163">
      <c r="F120" s="162" t="inlineStr">
        <is>
          <t>ESCOLA PAROQUIAL DA ALCOBAÇA</t>
        </is>
      </c>
      <c r="G120" s="162" t="inlineStr">
        <is>
          <t>SAMAMBAIA</t>
        </is>
      </c>
      <c r="H120" s="162" t="inlineStr">
        <is>
          <t>2037</t>
        </is>
      </c>
      <c r="I120" s="162" t="inlineStr">
        <is>
          <t>LUIZ SALOMÃO VIANA, 128 - CEP 25710-332</t>
        </is>
      </c>
      <c r="J120" s="162" t="inlineStr">
        <is>
          <t>(24) 98112-1309, (24) 98839-3055</t>
        </is>
      </c>
    </row>
    <row r="121" ht="15" customHeight="1" s="163">
      <c r="F121" s="162" t="inlineStr">
        <is>
          <t>CENTRO DE EDUCAÇÃO INFANTIL LOTA MACEDO SOARES</t>
        </is>
      </c>
      <c r="G121" s="162" t="inlineStr">
        <is>
          <t>SAMAMBAIA</t>
        </is>
      </c>
      <c r="H121" s="162" t="inlineStr">
        <is>
          <t>3058</t>
        </is>
      </c>
      <c r="I121" s="162" t="inlineStr">
        <is>
          <t>ENGENHEIRO DURVAL DE SOUZA, 142 - CEP 25710-320</t>
        </is>
      </c>
      <c r="J121" s="162" t="inlineStr">
        <is>
          <t>(24) 2291-3344, (24) 2245-4731</t>
        </is>
      </c>
    </row>
    <row r="122" ht="15" customHeight="1" s="163">
      <c r="F122" s="162" t="inlineStr">
        <is>
          <t>ESCOLA PAROQUIAL DO LOTEAMENTO SAMAMBAIA</t>
        </is>
      </c>
      <c r="G122" s="162" t="inlineStr">
        <is>
          <t>LOTEAMENTO SAMAMBAIA</t>
        </is>
      </c>
      <c r="H122" s="162" t="inlineStr">
        <is>
          <t>2038</t>
        </is>
      </c>
      <c r="I122" s="162" t="inlineStr">
        <is>
          <t>JOÃO AUGUSTO DE OLIVEIRA FILHO, 28 - CEP 25710-259</t>
        </is>
      </c>
      <c r="J122" s="162" t="inlineStr">
        <is>
          <t>(24) 2247-0517, (24) 98843-5217</t>
        </is>
      </c>
    </row>
    <row r="123" ht="15" customHeight="1" s="163">
      <c r="F123" s="162" t="inlineStr">
        <is>
          <t>E M PROF JOAQUIM DEISTER</t>
        </is>
      </c>
      <c r="G123" s="162" t="inlineStr">
        <is>
          <t>FLORESTA</t>
        </is>
      </c>
      <c r="H123" s="162" t="inlineStr">
        <is>
          <t>1018</t>
        </is>
      </c>
      <c r="I123" s="162" t="inlineStr">
        <is>
          <t>RUA DR. JOÃO GLASS VEIGA, 112 - CEP 25615-111</t>
        </is>
      </c>
      <c r="J123" s="162" t="inlineStr">
        <is>
          <t>(24) 2242-4760</t>
        </is>
      </c>
    </row>
    <row r="124" ht="15" customHeight="1" s="163">
      <c r="F124" s="162" t="inlineStr">
        <is>
          <t>E M MARIETA GONÇALVES</t>
        </is>
      </c>
      <c r="G124" s="162" t="inlineStr">
        <is>
          <t>CORRÊAS</t>
        </is>
      </c>
      <c r="H124" s="162" t="inlineStr">
        <is>
          <t>1036</t>
        </is>
      </c>
      <c r="I124" s="162" t="inlineStr">
        <is>
          <t>RUA NOSSA SENHORA DA GLÓRIA, 1329 - CEP 25720-265</t>
        </is>
      </c>
      <c r="J124" s="162" t="inlineStr">
        <is>
          <t>(24) 2221-1839</t>
        </is>
      </c>
    </row>
    <row r="125" ht="15" customHeight="1" s="163">
      <c r="F125" s="162" t="inlineStr">
        <is>
          <t>E M ODETTE YOUNG MONTEIRO</t>
        </is>
      </c>
      <c r="G125" s="162" t="inlineStr">
        <is>
          <t>CORRÊAS</t>
        </is>
      </c>
      <c r="H125" s="162" t="inlineStr">
        <is>
          <t>1037</t>
        </is>
      </c>
      <c r="I125" s="162" t="inlineStr">
        <is>
          <t>ALEXANDRE ALVES ANTUNES, 133 - CEP 25730-005</t>
        </is>
      </c>
      <c r="J125" s="162" t="inlineStr">
        <is>
          <t>(24) 99271-6764, (24) 2017-3899</t>
        </is>
      </c>
    </row>
    <row r="126" ht="15" customHeight="1" s="163">
      <c r="F126" s="162" t="inlineStr">
        <is>
          <t>E M PROFESSOR JOSEMAR CONTAGE</t>
        </is>
      </c>
      <c r="G126" s="162" t="inlineStr">
        <is>
          <t>CORRÊAS</t>
        </is>
      </c>
      <c r="H126" s="162" t="inlineStr">
        <is>
          <t>1095</t>
        </is>
      </c>
      <c r="I126" s="162" t="inlineStr">
        <is>
          <t>RUA CASTRO ALVES, 80 - CEP 25730-730</t>
        </is>
      </c>
      <c r="J126" s="162" t="inlineStr">
        <is>
          <t>(24) 2221-4289, (24) 2236-2433</t>
        </is>
      </c>
    </row>
    <row r="127" ht="15" customHeight="1" s="163">
      <c r="F127" s="162" t="inlineStr">
        <is>
          <t>E M HERCÍLIA HENRIQUES MORET</t>
        </is>
      </c>
      <c r="G127" s="162" t="inlineStr">
        <is>
          <t>CORRÊAS</t>
        </is>
      </c>
      <c r="H127" s="162" t="inlineStr">
        <is>
          <t>1110</t>
        </is>
      </c>
      <c r="I127" s="162" t="inlineStr">
        <is>
          <t>RUA VIGÁRIO CORRÊA, 238 - CEP 25720-322</t>
        </is>
      </c>
      <c r="J127" s="162" t="inlineStr">
        <is>
          <t>(24) 2221-1922</t>
        </is>
      </c>
    </row>
    <row r="128" ht="15" customHeight="1" s="163">
      <c r="F128" s="162" t="inlineStr">
        <is>
          <t>COLEGIO VICENTINO PADRE CORRÊA</t>
        </is>
      </c>
      <c r="G128" s="162" t="inlineStr">
        <is>
          <t>CORRÊAS</t>
        </is>
      </c>
      <c r="H128" s="162" t="inlineStr">
        <is>
          <t>2034</t>
        </is>
      </c>
      <c r="I128" s="162" t="inlineStr">
        <is>
          <t>ALVARES DE AZEVEDO, 24 - CEP 25730-020</t>
        </is>
      </c>
      <c r="J128" s="162" t="inlineStr">
        <is>
          <t>(24) 2221-2046, (24) 2221-1970</t>
        </is>
      </c>
    </row>
    <row r="129" ht="15" customHeight="1" s="163">
      <c r="F129" s="162" t="inlineStr">
        <is>
          <t>CEI PROFª MARLUCE DE SOUZA PESTANA</t>
        </is>
      </c>
      <c r="G129" s="162" t="inlineStr">
        <is>
          <t>CORRÊAS</t>
        </is>
      </c>
      <c r="H129" s="162" t="inlineStr">
        <is>
          <t>3047</t>
        </is>
      </c>
      <c r="I129" s="162" t="inlineStr">
        <is>
          <t>BONFIM, 3046 - CEP 25730-010</t>
        </is>
      </c>
      <c r="J129" s="162" t="inlineStr">
        <is>
          <t>(24) 2236-0202</t>
        </is>
      </c>
    </row>
    <row r="130" ht="15" customHeight="1" s="163">
      <c r="F130" s="162" t="inlineStr">
        <is>
          <t>CEI IRINEU MARINHO</t>
        </is>
      </c>
      <c r="G130" s="162" t="inlineStr">
        <is>
          <t>CORRÊAS</t>
        </is>
      </c>
      <c r="H130" s="162" t="inlineStr">
        <is>
          <t>3059</t>
        </is>
      </c>
      <c r="I130" s="162" t="inlineStr">
        <is>
          <t>ALVARES DE AZEVEDO, 83 - CEP 25730-020</t>
        </is>
      </c>
      <c r="J130" s="162" t="inlineStr">
        <is>
          <t>(24) 2017-8623</t>
        </is>
      </c>
    </row>
    <row r="131" ht="15" customHeight="1" s="163">
      <c r="F131" s="162" t="inlineStr">
        <is>
          <t>CEI DAGMAR ROLANDO DE OLIVEIRA</t>
        </is>
      </c>
      <c r="G131" s="162" t="inlineStr">
        <is>
          <t>CORRÊAS</t>
        </is>
      </c>
      <c r="H131" s="162" t="inlineStr">
        <is>
          <t>3069</t>
        </is>
      </c>
      <c r="I131" s="162" t="inlineStr">
        <is>
          <t>PRINCESA DONA PAULA, 25 - CEP 25730-100</t>
        </is>
      </c>
      <c r="J131" s="162" t="inlineStr">
        <is>
          <t>(24) 2019-3680</t>
        </is>
      </c>
    </row>
    <row r="132" ht="15" customHeight="1" s="163">
      <c r="F132" s="162" t="inlineStr">
        <is>
          <t>CEI NOSSA SENHORA DA GLÓRIA</t>
        </is>
      </c>
      <c r="G132" s="162" t="inlineStr">
        <is>
          <t>CORRÊAS</t>
        </is>
      </c>
      <c r="H132" s="162" t="inlineStr">
        <is>
          <t>3081</t>
        </is>
      </c>
      <c r="I132" s="162" t="inlineStr">
        <is>
          <t>RUA NOSSA SENHORA DA GLÓRIA, 1370 - CEP 25720-265</t>
        </is>
      </c>
      <c r="J132" s="162" t="inlineStr">
        <is>
          <t>(24) 2221-7590</t>
        </is>
      </c>
    </row>
    <row r="133" ht="15" customHeight="1" s="163">
      <c r="F133" s="162" t="inlineStr">
        <is>
          <t>E M PROF NILTON COSTA PEREIRA DE SÃO THIAGO</t>
        </is>
      </c>
      <c r="G133" s="162" t="inlineStr">
        <is>
          <t>NOGUEIRA</t>
        </is>
      </c>
      <c r="H133" s="162" t="inlineStr">
        <is>
          <t>1116</t>
        </is>
      </c>
      <c r="I133" s="162" t="inlineStr">
        <is>
          <t>AV.LEOPOLDINA, 561 - CEP 25730-203</t>
        </is>
      </c>
      <c r="J133" s="162" t="inlineStr">
        <is>
          <t>(24) 2221-4724</t>
        </is>
      </c>
    </row>
    <row r="134" ht="15" customHeight="1" s="163">
      <c r="F134" s="162" t="inlineStr">
        <is>
          <t>CENTRO DE EDUCAÇÃO INFANTIL SÉRGIO RIBEIRO ROCHA</t>
        </is>
      </c>
      <c r="G134" s="162" t="inlineStr">
        <is>
          <t>NOGUEIRA</t>
        </is>
      </c>
      <c r="H134" s="162" t="inlineStr">
        <is>
          <t>3079</t>
        </is>
      </c>
      <c r="I134" s="162" t="inlineStr">
        <is>
          <t>ESTRADA DO PALMITAL, - CEP 25730-500</t>
        </is>
      </c>
      <c r="J134" s="162" t="inlineStr">
        <is>
          <t>(24) 2231-7404</t>
        </is>
      </c>
    </row>
    <row r="135" ht="15" customHeight="1" s="163">
      <c r="F135" s="162" t="inlineStr">
        <is>
          <t>CEI SANTO ANTÔNIO AGOSTINHO</t>
        </is>
      </c>
      <c r="G135" s="162" t="inlineStr">
        <is>
          <t>NOGUEIRA</t>
        </is>
      </c>
      <c r="H135" s="162" t="inlineStr">
        <is>
          <t>4003</t>
        </is>
      </c>
      <c r="I135" s="162" t="inlineStr">
        <is>
          <t>LEOPOLDINA, 590 - CEP 25730-203</t>
        </is>
      </c>
      <c r="J135" s="162" t="inlineStr">
        <is>
          <t>(24) 2221-5545</t>
        </is>
      </c>
    </row>
    <row r="136" ht="15" customHeight="1" s="163">
      <c r="F136" s="162" t="inlineStr">
        <is>
          <t>CEI OSWALDO CRUZ</t>
        </is>
      </c>
      <c r="G136" s="162" t="inlineStr">
        <is>
          <t>QUARTEIRÃO INGELHEIM</t>
        </is>
      </c>
      <c r="H136" s="162" t="inlineStr">
        <is>
          <t>3060</t>
        </is>
      </c>
      <c r="I136" s="162" t="inlineStr">
        <is>
          <t>RUA INGELHEIM, 643 - CEP 25675-540</t>
        </is>
      </c>
      <c r="J136" s="162" t="inlineStr">
        <is>
          <t>(24) 2243-4721, (24) 99920-5057</t>
        </is>
      </c>
    </row>
    <row r="137" ht="15" customHeight="1" s="163">
      <c r="F137" s="162" t="inlineStr">
        <is>
          <t>E M MAGDALENA TAGLIAFERRO</t>
        </is>
      </c>
      <c r="G137" s="162" t="inlineStr">
        <is>
          <t>CASTELO SÃO MANOEL</t>
        </is>
      </c>
      <c r="H137" s="162" t="inlineStr">
        <is>
          <t>1034</t>
        </is>
      </c>
      <c r="I137" s="162" t="inlineStr">
        <is>
          <t>CAPITÃO JOÃO AMÂNCIO DE S.COUTINHO, S/N - CEP 25720-210</t>
        </is>
      </c>
      <c r="J137" s="162" t="inlineStr">
        <is>
          <t>(24) 2221-5955, (24) 99255-8706</t>
        </is>
      </c>
    </row>
    <row r="138" ht="15" customHeight="1" s="163">
      <c r="F138" s="162" t="inlineStr">
        <is>
          <t>ESCOLA SÃO JOSÉ DO CAETITU</t>
        </is>
      </c>
      <c r="G138" s="162" t="inlineStr">
        <is>
          <t>CASTELO SÃO MANOEL</t>
        </is>
      </c>
      <c r="H138" s="162" t="inlineStr">
        <is>
          <t>2049</t>
        </is>
      </c>
      <c r="I138" s="162" t="inlineStr">
        <is>
          <t>ESTRADA DO RIBEIRAO, 490 - CEP 25730-970</t>
        </is>
      </c>
      <c r="J138" s="162" t="inlineStr">
        <is>
          <t>(24) 2249-1909</t>
        </is>
      </c>
    </row>
    <row r="139" ht="15" customHeight="1" s="163">
      <c r="F139" s="162" t="inlineStr">
        <is>
          <t>CRECHE-ESCOLA CASTELO SÃO MANOEL</t>
        </is>
      </c>
      <c r="G139" s="162" t="inlineStr">
        <is>
          <t>CASTELO SÃO MANOEL</t>
        </is>
      </c>
      <c r="H139" s="162" t="inlineStr">
        <is>
          <t>4019</t>
        </is>
      </c>
      <c r="I139" s="162" t="inlineStr">
        <is>
          <t>RUA VISCONDE DE TAUNAY, 641 - CEP 25720-200</t>
        </is>
      </c>
      <c r="J139" s="162" t="inlineStr">
        <is>
          <t>(24) 2221-5830, (24) 98876-0610</t>
        </is>
      </c>
    </row>
    <row r="140" ht="15" customHeight="1" s="163">
      <c r="F140" s="162" t="inlineStr">
        <is>
          <t>CEI THEREZINHA DE JESUS LIMA</t>
        </is>
      </c>
      <c r="G140" s="162" t="inlineStr">
        <is>
          <t>BONFIM</t>
        </is>
      </c>
      <c r="H140" s="162" t="inlineStr">
        <is>
          <t>3076</t>
        </is>
      </c>
      <c r="I140" s="162" t="inlineStr">
        <is>
          <t>ALEXANDRE ALVES ANTUNES, 80 - CEP 25730-005</t>
        </is>
      </c>
      <c r="J140" s="162" t="inlineStr">
        <is>
          <t>(24) 2246-4262</t>
        </is>
      </c>
    </row>
    <row r="141" ht="15" customHeight="1" s="163">
      <c r="F141" s="162" t="inlineStr">
        <is>
          <t>E M PROFESSOR PAULO MONTE</t>
        </is>
      </c>
      <c r="G141" s="162" t="inlineStr">
        <is>
          <t>ARARAS</t>
        </is>
      </c>
      <c r="H141" s="162" t="inlineStr">
        <is>
          <t>1040</t>
        </is>
      </c>
      <c r="I141" s="162" t="inlineStr">
        <is>
          <t>ESTRADA BERNARDO COUTINHO, SN - CEP 25725-020</t>
        </is>
      </c>
      <c r="J141" s="162" t="inlineStr">
        <is>
          <t>(24) 2291-7383</t>
        </is>
      </c>
    </row>
    <row r="142" ht="15" customHeight="1" s="163">
      <c r="F142" s="162" t="inlineStr">
        <is>
          <t>COLÉGIO ANGLICANO DE ARARAS</t>
        </is>
      </c>
      <c r="G142" s="162" t="inlineStr">
        <is>
          <t>ARARAS</t>
        </is>
      </c>
      <c r="H142" s="162" t="inlineStr">
        <is>
          <t>2033</t>
        </is>
      </c>
      <c r="I142" s="162" t="inlineStr">
        <is>
          <t>ESTRADA BERNARDO COUTINHO, 1643 - CEP 25725-022</t>
        </is>
      </c>
      <c r="J142" s="162" t="inlineStr">
        <is>
          <t>(24) 2225-1226</t>
        </is>
      </c>
    </row>
    <row r="143" ht="15" customHeight="1" s="163">
      <c r="F143" s="162" t="inlineStr">
        <is>
          <t>ESCOLA PAROQUIAL SANTA BERNADETE</t>
        </is>
      </c>
      <c r="G143" s="162" t="inlineStr">
        <is>
          <t>ARARAS</t>
        </is>
      </c>
      <c r="H143" s="162" t="inlineStr">
        <is>
          <t>2039</t>
        </is>
      </c>
      <c r="I143" s="162" t="inlineStr">
        <is>
          <t>RUA BERNARDO COUTINHO, 1845 - CEP 25725-022</t>
        </is>
      </c>
      <c r="J143" s="162" t="inlineStr">
        <is>
          <t>(24) 2225-0471</t>
        </is>
      </c>
    </row>
    <row r="144" ht="15" customHeight="1" s="163">
      <c r="F144" s="162" t="inlineStr">
        <is>
          <t>CEI VISTA ALEGRE</t>
        </is>
      </c>
      <c r="G144" s="162" t="inlineStr">
        <is>
          <t>ARARAS</t>
        </is>
      </c>
      <c r="H144" s="162" t="inlineStr">
        <is>
          <t>3025</t>
        </is>
      </c>
      <c r="I144" s="162" t="inlineStr">
        <is>
          <t>AGNELLO BARREIROS, S/N - CEP 25725-000</t>
        </is>
      </c>
      <c r="J144" s="162" t="inlineStr">
        <is>
          <t>(24) 2235-2553</t>
        </is>
      </c>
    </row>
    <row r="145" ht="15" customHeight="1" s="163">
      <c r="F145" s="162" t="inlineStr">
        <is>
          <t>CEI DENISE BESSA DE OLIVA MAYA</t>
        </is>
      </c>
      <c r="G145" s="162" t="inlineStr">
        <is>
          <t>ARARAS</t>
        </is>
      </c>
      <c r="H145" s="162" t="inlineStr">
        <is>
          <t>3056</t>
        </is>
      </c>
      <c r="I145" s="162" t="inlineStr">
        <is>
          <t>ESTRADA BERNARDO COUTINHO, 526 - CEP 25725-020</t>
        </is>
      </c>
      <c r="J145" s="162" t="inlineStr">
        <is>
          <t>(24) 2225-1136</t>
        </is>
      </c>
    </row>
    <row r="146" ht="15" customHeight="1" s="163">
      <c r="F146" s="162" t="inlineStr">
        <is>
          <t>CEI VIDEIRINHA</t>
        </is>
      </c>
      <c r="G146" s="162" t="inlineStr">
        <is>
          <t>ARARAS</t>
        </is>
      </c>
      <c r="H146" s="162" t="inlineStr">
        <is>
          <t>3077</t>
        </is>
      </c>
      <c r="I146" s="162" t="inlineStr">
        <is>
          <t>ESTR. ALMIRANTE PAULO MEIRA, 8201 - CEP 25725-029</t>
        </is>
      </c>
      <c r="J146" s="162" t="inlineStr">
        <is>
          <t>(24) 99269-4949, (24) 99310-6988</t>
        </is>
      </c>
    </row>
    <row r="147" ht="15" customHeight="1" s="163">
      <c r="F147" s="162" t="inlineStr">
        <is>
          <t>E M AMÉRICO FERNANDES RIBEIRO</t>
        </is>
      </c>
      <c r="G147" s="162" t="inlineStr">
        <is>
          <t>VALE DAS VIDEIRAS</t>
        </is>
      </c>
      <c r="H147" s="162" t="inlineStr">
        <is>
          <t>1097</t>
        </is>
      </c>
      <c r="I147" s="162" t="inlineStr">
        <is>
          <t>ESTR. ALMIRANTE PAULO MEIRA, 8400 - CEP 25725-029</t>
        </is>
      </c>
      <c r="J147" s="162" t="inlineStr">
        <is>
          <t>(24) 3199-0100</t>
        </is>
      </c>
    </row>
    <row r="148" ht="15" customHeight="1" s="163">
      <c r="F148" s="162" t="inlineStr">
        <is>
          <t>E M AUGUSTO PUGNALONI</t>
        </is>
      </c>
      <c r="G148" s="162" t="inlineStr">
        <is>
          <t>ITAIPAVA</t>
        </is>
      </c>
      <c r="H148" s="162" t="inlineStr">
        <is>
          <t>1044</t>
        </is>
      </c>
      <c r="I148" s="162" t="inlineStr">
        <is>
          <t>ESTRADA DO CATOBIRA, S/N - CEP 25740-100</t>
        </is>
      </c>
      <c r="J148" s="162" t="inlineStr">
        <is>
          <t>(24) 2246-9103</t>
        </is>
      </c>
    </row>
    <row r="149" ht="15" customHeight="1" s="163">
      <c r="F149" s="162" t="inlineStr">
        <is>
          <t>E M CELINA SCHECHNER</t>
        </is>
      </c>
      <c r="G149" s="162" t="inlineStr">
        <is>
          <t>ITAIPAVA</t>
        </is>
      </c>
      <c r="H149" s="162" t="inlineStr">
        <is>
          <t>1045</t>
        </is>
      </c>
      <c r="I149" s="162" t="inlineStr">
        <is>
          <t>ESTRADA UNIÃO INDÚSTRIA, 11976 - CEP 25750-226</t>
        </is>
      </c>
      <c r="J149" s="162" t="inlineStr">
        <is>
          <t>(24) 2235-7349</t>
        </is>
      </c>
    </row>
    <row r="150" ht="15" customHeight="1" s="163">
      <c r="F150" s="162" t="inlineStr">
        <is>
          <t>E M DARCY CORREA DA VEIGA</t>
        </is>
      </c>
      <c r="G150" s="162" t="inlineStr">
        <is>
          <t>ITAIPAVA</t>
        </is>
      </c>
      <c r="H150" s="162" t="inlineStr">
        <is>
          <t>1046</t>
        </is>
      </c>
      <c r="I150" s="162" t="inlineStr">
        <is>
          <t>ESTRADA CORREA DA VEIGA, 1595 - CEP 25745-260</t>
        </is>
      </c>
      <c r="J150" s="162" t="inlineStr">
        <is>
          <t>(24) 99253-0879, (24) 2246-9319</t>
        </is>
      </c>
    </row>
    <row r="151" ht="15" customHeight="1" s="163">
      <c r="F151" s="162" t="inlineStr">
        <is>
          <t>E M DR PAULA BUARQUE</t>
        </is>
      </c>
      <c r="G151" s="162" t="inlineStr">
        <is>
          <t>ITAIPAVA</t>
        </is>
      </c>
      <c r="H151" s="162" t="inlineStr">
        <is>
          <t>1048</t>
        </is>
      </c>
      <c r="I151" s="162" t="inlineStr">
        <is>
          <t>ESTR. PHILÚVIO CERQUEIRA RODRIGUES-VL CO, KM 2 - CEP 25745-001</t>
        </is>
      </c>
      <c r="J151" s="162" t="inlineStr">
        <is>
          <t>(24) 2222-6445, (24) 98821-8414</t>
        </is>
      </c>
    </row>
    <row r="152" ht="15" customHeight="1" s="163">
      <c r="F152" s="162" t="inlineStr">
        <is>
          <t>LICEU SÃO JOSÉ DE ITAIPAVA</t>
        </is>
      </c>
      <c r="G152" s="162" t="inlineStr">
        <is>
          <t>ITAIPAVA</t>
        </is>
      </c>
      <c r="H152" s="162" t="inlineStr">
        <is>
          <t>2045</t>
        </is>
      </c>
      <c r="I152" s="162" t="inlineStr">
        <is>
          <t>ESTRADA UNIÃO INDÚSTRIA, 1449 - CEP 25740-365</t>
        </is>
      </c>
      <c r="J152" s="162" t="inlineStr">
        <is>
          <t>(24) 2222-1210, (24) 2222-1443</t>
        </is>
      </c>
    </row>
    <row r="153" ht="15" customHeight="1" s="163">
      <c r="F153" s="162" t="inlineStr">
        <is>
          <t>CEI LUIZ MARCHIORI</t>
        </is>
      </c>
      <c r="G153" s="162" t="inlineStr">
        <is>
          <t>ITAIPAVA</t>
        </is>
      </c>
      <c r="H153" s="162" t="inlineStr">
        <is>
          <t>3045</t>
        </is>
      </c>
      <c r="I153" s="162" t="inlineStr">
        <is>
          <t>DO GENTIL, 1906 - CEP 25745-060</t>
        </is>
      </c>
      <c r="J153" s="162" t="inlineStr">
        <is>
          <t>(24) 2020-0750, (24) 99968-2860</t>
        </is>
      </c>
    </row>
    <row r="154" ht="15" customHeight="1" s="163">
      <c r="F154" s="162" t="inlineStr">
        <is>
          <t>CENTRO DE EDUCAÇÃO INFANTIL AUGUSTO PUGNALONI</t>
        </is>
      </c>
      <c r="G154" s="162" t="inlineStr">
        <is>
          <t>ITAIPAVA</t>
        </is>
      </c>
      <c r="H154" s="162" t="inlineStr">
        <is>
          <t>3075</t>
        </is>
      </c>
      <c r="I154" s="162" t="inlineStr">
        <is>
          <t>ESTRADA DO CATOBIRA, S/N - CEP 25740-100</t>
        </is>
      </c>
      <c r="J154" s="162" t="inlineStr">
        <is>
          <t>(24) 2246-9104</t>
        </is>
      </c>
    </row>
    <row r="155" ht="15" customHeight="1" s="163">
      <c r="F155" s="162" t="inlineStr">
        <is>
          <t>CEI PROFª ADRIANA CONSTÂNCIO TRINDADE</t>
        </is>
      </c>
      <c r="G155" s="162" t="inlineStr">
        <is>
          <t>ITAIPAVA</t>
        </is>
      </c>
      <c r="H155" s="162" t="inlineStr">
        <is>
          <t>3078</t>
        </is>
      </c>
      <c r="I155" s="162" t="inlineStr">
        <is>
          <t>ESTRADA UNIÃO INDÚSTRIA, 11990 - CEP 25750-220</t>
        </is>
      </c>
      <c r="J155" s="162" t="inlineStr">
        <is>
          <t>(24) 2235-7398</t>
        </is>
      </c>
    </row>
    <row r="156" ht="15" customHeight="1" s="163">
      <c r="F156" s="162" t="inlineStr">
        <is>
          <t>E M AMÉLIA ANTUNES RABELLO</t>
        </is>
      </c>
      <c r="G156" s="162" t="inlineStr">
        <is>
          <t>MADAME MACHADO</t>
        </is>
      </c>
      <c r="H156" s="162" t="inlineStr">
        <is>
          <t>1043</t>
        </is>
      </c>
      <c r="I156" s="162" t="inlineStr">
        <is>
          <t>RUA JOSÉ DA GAMA MACHADO, S/N - CEP 25745-700</t>
        </is>
      </c>
      <c r="J156" s="162" t="inlineStr">
        <is>
          <t>(24) 2222-5113</t>
        </is>
      </c>
    </row>
    <row r="157" ht="15" customHeight="1" s="163">
      <c r="F157" s="162" t="inlineStr">
        <is>
          <t>CEI PREFEITO SÉRGIO FADEL</t>
        </is>
      </c>
      <c r="G157" s="162" t="inlineStr">
        <is>
          <t>MADAME MACHADO</t>
        </is>
      </c>
      <c r="H157" s="162" t="inlineStr">
        <is>
          <t>3033</t>
        </is>
      </c>
      <c r="I157" s="162" t="inlineStr">
        <is>
          <t>GERALDO LOURENÇO DIAS, 33 - CEP 25745-710</t>
        </is>
      </c>
      <c r="J157" s="162" t="inlineStr">
        <is>
          <t>(24) 2246-9433</t>
        </is>
      </c>
    </row>
    <row r="158" ht="15" customHeight="1" s="163">
      <c r="F158" s="162" t="inlineStr">
        <is>
          <t>E M DR THEODORO MACHADO</t>
        </is>
      </c>
      <c r="G158" s="162" t="inlineStr">
        <is>
          <t>CUIABÁ</t>
        </is>
      </c>
      <c r="H158" s="162" t="inlineStr">
        <is>
          <t>1049</t>
        </is>
      </c>
      <c r="I158" s="162" t="inlineStr">
        <is>
          <t>ESTRADA MINISTRO SALGADO FILHO, S/N - CEP 25745-690</t>
        </is>
      </c>
      <c r="J158" s="162" t="inlineStr">
        <is>
          <t>(24) 2222-9172</t>
        </is>
      </c>
    </row>
    <row r="159" ht="15" customHeight="1" s="163">
      <c r="F159" s="162" t="inlineStr">
        <is>
          <t>ESCOLA SANTO ANTÔNIO</t>
        </is>
      </c>
      <c r="G159" s="162" t="inlineStr">
        <is>
          <t>CUIABÁ</t>
        </is>
      </c>
      <c r="H159" s="162" t="inlineStr">
        <is>
          <t>2044</t>
        </is>
      </c>
      <c r="I159" s="162" t="inlineStr">
        <is>
          <t>ESTRADA MINISTRO SALGADO FILHO, 4839 - CEP 25745-450</t>
        </is>
      </c>
      <c r="J159" s="162" t="inlineStr">
        <is>
          <t>(24) 99204-1496, (24) 2246-8796</t>
        </is>
      </c>
    </row>
    <row r="160" ht="15" customHeight="1" s="163">
      <c r="F160" s="162" t="inlineStr">
        <is>
          <t>E M TAQUARIL</t>
        </is>
      </c>
      <c r="G160" s="162" t="inlineStr">
        <is>
          <t>PEDRO DO RIO</t>
        </is>
      </c>
      <c r="H160" s="162" t="inlineStr">
        <is>
          <t>1065</t>
        </is>
      </c>
      <c r="I160" s="162" t="inlineStr">
        <is>
          <t>RUA MANOEL BATISTA ANDRADE, S/N - CEP 25750-280</t>
        </is>
      </c>
      <c r="J160" s="162" t="inlineStr">
        <is>
          <t>(24) 2236-2770, (24) 99206-0546</t>
        </is>
      </c>
    </row>
    <row r="161" ht="15" customHeight="1" s="163">
      <c r="F161" s="162" t="inlineStr">
        <is>
          <t>E M MONSENHOR JOÃO DE DEUS RODRIGUES</t>
        </is>
      </c>
      <c r="G161" s="162" t="inlineStr">
        <is>
          <t>PEDRO DO RIO</t>
        </is>
      </c>
      <c r="H161" s="162" t="inlineStr">
        <is>
          <t>1099</t>
        </is>
      </c>
      <c r="I161" s="162" t="inlineStr">
        <is>
          <t>DR. BARROS FRANCO, S/N - CEP 25750-290</t>
        </is>
      </c>
      <c r="J161" s="162" t="inlineStr">
        <is>
          <t>(24) 2223-2857</t>
        </is>
      </c>
    </row>
    <row r="162" ht="15" customHeight="1" s="163">
      <c r="F162" s="162" t="inlineStr">
        <is>
          <t>CENTRO DE REFERÊNCIA EM EDUCAÇÃO INCLUSIVA ALINE DE SOUZA CORREA</t>
        </is>
      </c>
      <c r="G162" s="162" t="inlineStr">
        <is>
          <t>PEDRO DO RIO</t>
        </is>
      </c>
      <c r="H162" s="162" t="inlineStr">
        <is>
          <t>1119</t>
        </is>
      </c>
      <c r="I162" s="162" t="inlineStr">
        <is>
          <t>RUA EUGENIO ZANATTA, 247 - CEP 25750-300</t>
        </is>
      </c>
      <c r="J162" s="162" t="inlineStr">
        <is>
          <t>(24) 2246-6577</t>
        </is>
      </c>
    </row>
    <row r="163" ht="15" customHeight="1" s="163">
      <c r="F163" s="162" t="inlineStr">
        <is>
          <t>CEI PROFª GRAÇA COSTA</t>
        </is>
      </c>
      <c r="G163" s="162" t="inlineStr">
        <is>
          <t>PEDRO DO RIO</t>
        </is>
      </c>
      <c r="H163" s="162" t="inlineStr">
        <is>
          <t>3043</t>
        </is>
      </c>
      <c r="I163" s="162" t="inlineStr">
        <is>
          <t>RUA EMÍLIO ZANATTA, 767 - CEP 25750-100</t>
        </is>
      </c>
      <c r="J163" s="162" t="inlineStr">
        <is>
          <t>(24) 2223-5289, (24) 98808-6118</t>
        </is>
      </c>
    </row>
    <row r="164" ht="15" customHeight="1" s="163">
      <c r="F164" s="162" t="inlineStr">
        <is>
          <t>CEI VILA LEOPOLDINA</t>
        </is>
      </c>
      <c r="G164" s="162" t="inlineStr">
        <is>
          <t>PEDRO DO RIO</t>
        </is>
      </c>
      <c r="H164" s="162" t="inlineStr">
        <is>
          <t>3050</t>
        </is>
      </c>
      <c r="I164" s="162" t="inlineStr">
        <is>
          <t>RUA EUGENIO ZANATTA, S/N - CEP 25750-300</t>
        </is>
      </c>
      <c r="J164" s="162" t="inlineStr">
        <is>
          <t>(24) 98844-5754</t>
        </is>
      </c>
    </row>
    <row r="165" ht="15" customHeight="1" s="163">
      <c r="F165" s="162" t="inlineStr">
        <is>
          <t>CEI NILO PEÇANHA</t>
        </is>
      </c>
      <c r="G165" s="162" t="inlineStr">
        <is>
          <t>PEDRO DO RIO</t>
        </is>
      </c>
      <c r="H165" s="162" t="inlineStr">
        <is>
          <t>3074</t>
        </is>
      </c>
      <c r="I165" s="162" t="inlineStr">
        <is>
          <t>RUA EUGENIO ZANATTA, 247 - CEP 25750-300</t>
        </is>
      </c>
      <c r="J165" s="162" t="inlineStr">
        <is>
          <t>(24) 99313-4013, (24) 2246-8660</t>
        </is>
      </c>
    </row>
    <row r="166" ht="15" customHeight="1" s="163">
      <c r="F166" s="162" t="inlineStr">
        <is>
          <t>E MZDA SANTA TEREZINHA</t>
        </is>
      </c>
      <c r="G166" s="162" t="inlineStr">
        <is>
          <t>VILA RICA</t>
        </is>
      </c>
      <c r="H166" s="162" t="inlineStr">
        <is>
          <t>1102</t>
        </is>
      </c>
      <c r="I166" s="162" t="inlineStr">
        <is>
          <t>RUA C, S/N - CEP 25750-990</t>
        </is>
      </c>
      <c r="J166" s="162" t="inlineStr">
        <is>
          <t>(24) 2235-1608</t>
        </is>
      </c>
    </row>
    <row r="167" ht="15" customHeight="1" s="163">
      <c r="F167" s="162" t="inlineStr">
        <is>
          <t>CEI CRIANÇA SANTA EDWIGES</t>
        </is>
      </c>
      <c r="G167" s="162" t="inlineStr">
        <is>
          <t>VILA RICA</t>
        </is>
      </c>
      <c r="H167" s="162" t="inlineStr">
        <is>
          <t>3013</t>
        </is>
      </c>
      <c r="I167" s="162" t="inlineStr">
        <is>
          <t>RUA AUGUSTO FRANCISCO DA SILVA, 1010 - CEP 25750-361</t>
        </is>
      </c>
      <c r="J167" s="162" t="inlineStr">
        <is>
          <t>(24) 2223-4639</t>
        </is>
      </c>
    </row>
    <row r="168" ht="15" customHeight="1" s="163">
      <c r="F168" s="162" t="inlineStr">
        <is>
          <t>E M ARNALDO DYCKERHOFF</t>
        </is>
      </c>
      <c r="G168" s="162" t="inlineStr">
        <is>
          <t>POSSE</t>
        </is>
      </c>
      <c r="H168" s="162" t="inlineStr">
        <is>
          <t>1052</t>
        </is>
      </c>
      <c r="I168" s="162" t="inlineStr">
        <is>
          <t>ESTRADA ARNALDO DYCKERHOFF, 4110 - CEP 25770-130</t>
        </is>
      </c>
      <c r="J168" s="162" t="inlineStr">
        <is>
          <t>(24) 2246-9326</t>
        </is>
      </c>
    </row>
    <row r="169" ht="15" customHeight="1" s="163">
      <c r="F169" s="162" t="inlineStr">
        <is>
          <t>E M CARLOS CANEDO</t>
        </is>
      </c>
      <c r="G169" s="162" t="inlineStr">
        <is>
          <t>POSSE</t>
        </is>
      </c>
      <c r="H169" s="162" t="inlineStr">
        <is>
          <t>1055</t>
        </is>
      </c>
      <c r="I169" s="162" t="inlineStr">
        <is>
          <t>ESTRADA UNIÃO INDÚSTRIA, 24681 - CEP 25750-222</t>
        </is>
      </c>
      <c r="J169" s="162" t="inlineStr">
        <is>
          <t>(24) 98812-4591</t>
        </is>
      </c>
    </row>
    <row r="170" ht="15" customHeight="1" s="163">
      <c r="F170" s="162" t="inlineStr">
        <is>
          <t>E M BEATRIZ ZALESKI</t>
        </is>
      </c>
      <c r="G170" s="162" t="inlineStr">
        <is>
          <t>POSSE</t>
        </is>
      </c>
      <c r="H170" s="162" t="inlineStr">
        <is>
          <t>1067</t>
        </is>
      </c>
      <c r="I170" s="162" t="inlineStr">
        <is>
          <t>ESTRADA UNIÃO INDÚSTRIA - KM 89, RETA DA POSSE - CEP 25770-000</t>
        </is>
      </c>
      <c r="J170" s="162" t="inlineStr">
        <is>
          <t>(24) 2259-2730</t>
        </is>
      </c>
    </row>
    <row r="171" ht="15" customHeight="1" s="163">
      <c r="F171" s="162" t="inlineStr">
        <is>
          <t>E M ANTÔNIO JOSÉ DE LIMA</t>
        </is>
      </c>
      <c r="G171" s="162" t="inlineStr">
        <is>
          <t>POSSE</t>
        </is>
      </c>
      <c r="H171" s="162" t="inlineStr">
        <is>
          <t>1068</t>
        </is>
      </c>
      <c r="I171" s="162" t="inlineStr">
        <is>
          <t>ESTRADA DOS ALBERTOS-BREJAL, S/N - CEP 25770-090</t>
        </is>
      </c>
      <c r="J171" s="162" t="inlineStr">
        <is>
          <t>(24) 2241-0984</t>
        </is>
      </c>
    </row>
    <row r="172" ht="15" customHeight="1" s="163">
      <c r="F172" s="162" t="inlineStr">
        <is>
          <t>E M FELIX WAN ERVEN DE BARROS</t>
        </is>
      </c>
      <c r="G172" s="162" t="inlineStr">
        <is>
          <t>POSSE</t>
        </is>
      </c>
      <c r="H172" s="162" t="inlineStr">
        <is>
          <t>1069</t>
        </is>
      </c>
      <c r="I172" s="162" t="inlineStr">
        <is>
          <t>ESTRADA SILVEIRA DA MOTTA, KM 2,5, S/N, KM 4 - CEP 25770-460</t>
        </is>
      </c>
      <c r="J172" s="162" t="inlineStr">
        <is>
          <t>(24) 99202-5067, (24) 2246-8797</t>
        </is>
      </c>
    </row>
    <row r="173" ht="15" customHeight="1" s="163">
      <c r="F173" s="162" t="inlineStr">
        <is>
          <t>E M HILDEBRANDO DE CARVALHO</t>
        </is>
      </c>
      <c r="G173" s="162" t="inlineStr">
        <is>
          <t>POSSE</t>
        </is>
      </c>
      <c r="H173" s="162" t="inlineStr">
        <is>
          <t>1070</t>
        </is>
      </c>
      <c r="I173" s="162" t="inlineStr">
        <is>
          <t>ESTRADA SILVEIRA DA MOTTA, KM 2,5, S/N, KM 2,5 - CEP 25770-460</t>
        </is>
      </c>
      <c r="J173" s="162" t="inlineStr">
        <is>
          <t>(24) 2246-9123</t>
        </is>
      </c>
    </row>
    <row r="174" ht="15" customHeight="1" s="163">
      <c r="F174" s="162" t="inlineStr">
        <is>
          <t>E M OSWALDO DA COSTA FRIAS</t>
        </is>
      </c>
      <c r="G174" s="162" t="inlineStr">
        <is>
          <t>POSSE</t>
        </is>
      </c>
      <c r="H174" s="162" t="inlineStr">
        <is>
          <t>1073</t>
        </is>
      </c>
      <c r="I174" s="162" t="inlineStr">
        <is>
          <t>ESTRADA DO JURUÁ, N SRA DE FATIMA - CEP 25770-330</t>
        </is>
      </c>
      <c r="J174" s="162" t="inlineStr">
        <is>
          <t>(24) 2246-9087</t>
        </is>
      </c>
    </row>
    <row r="175" ht="15" customHeight="1" s="163">
      <c r="F175" s="162" t="inlineStr">
        <is>
          <t>E MZDA AVELINO DE CARVALHO</t>
        </is>
      </c>
      <c r="G175" s="162" t="inlineStr">
        <is>
          <t>POSSE</t>
        </is>
      </c>
      <c r="H175" s="162" t="inlineStr">
        <is>
          <t>1076</t>
        </is>
      </c>
      <c r="I175" s="162" t="inlineStr">
        <is>
          <t>ESTRADA DO BREJAL, SBREJAL S/N - CEP 25770-090</t>
        </is>
      </c>
      <c r="J175" s="162" t="inlineStr">
        <is>
          <t>(24) 98829-9830, (24) 2246-4278</t>
        </is>
      </c>
    </row>
    <row r="176" ht="15" customHeight="1" s="163">
      <c r="F176" s="162" t="inlineStr">
        <is>
          <t>ESCOLA MUNICIPALIZADA MOYSÉS FURTADO BRAVO</t>
        </is>
      </c>
      <c r="G176" s="162" t="inlineStr">
        <is>
          <t>POSSE</t>
        </is>
      </c>
      <c r="H176" s="162" t="inlineStr">
        <is>
          <t>1111</t>
        </is>
      </c>
      <c r="I176" s="162" t="inlineStr">
        <is>
          <t>PRAÇA FLÁVIO CASTRIOTO, S/N - CEP 25770-200</t>
        </is>
      </c>
      <c r="J176" s="162" t="inlineStr">
        <is>
          <t>(24) 2221-4030</t>
        </is>
      </c>
    </row>
    <row r="177" ht="15" customHeight="1" s="163">
      <c r="F177" s="162" t="inlineStr">
        <is>
          <t>CEI ANGELA MARIA DA CONCEIÇÃO SILVA</t>
        </is>
      </c>
      <c r="G177" s="162" t="inlineStr">
        <is>
          <t>POSSE</t>
        </is>
      </c>
      <c r="H177" s="162" t="inlineStr">
        <is>
          <t>3044</t>
        </is>
      </c>
      <c r="I177" s="162" t="inlineStr">
        <is>
          <t>ESTRADA UNIÃO INDÚSTRIA, 33666 - CEP 25770-480</t>
        </is>
      </c>
      <c r="J177" s="162" t="inlineStr">
        <is>
          <t>(24) 2246-9324, (24) 99259-4303</t>
        </is>
      </c>
    </row>
    <row r="178" ht="15" customHeight="1" s="163">
      <c r="F178" s="162" t="inlineStr">
        <is>
          <t>CEI JOSÉ GONÇALVES DA MOTTA</t>
        </is>
      </c>
      <c r="G178" s="162" t="inlineStr">
        <is>
          <t>POSSE</t>
        </is>
      </c>
      <c r="H178" s="162" t="inlineStr">
        <is>
          <t>3062</t>
        </is>
      </c>
      <c r="I178" s="162" t="inlineStr">
        <is>
          <t>RUA JOÃO DE FARIAS, S/N - CEP 25770-090</t>
        </is>
      </c>
      <c r="J178" s="162" t="inlineStr">
        <is>
          <t>(24) 2247-9762</t>
        </is>
      </c>
    </row>
    <row r="179" ht="15" customHeight="1" s="163">
      <c r="F179" s="162" t="inlineStr">
        <is>
          <t>E M DR BARROS FRANCO</t>
        </is>
      </c>
      <c r="G179" s="162" t="inlineStr">
        <is>
          <t>SECRETÁRIO</t>
        </is>
      </c>
      <c r="H179" s="162" t="inlineStr">
        <is>
          <t>1057</t>
        </is>
      </c>
      <c r="I179" s="162" t="inlineStr">
        <is>
          <t>ESTRADA DE FAGUNDES, S/N - CEP 25755-090</t>
        </is>
      </c>
      <c r="J179" s="162" t="inlineStr">
        <is>
          <t>(24) 98838-3200, (24) 97835-9019</t>
        </is>
      </c>
    </row>
    <row r="180" ht="15" customHeight="1" s="163">
      <c r="F180" s="162" t="inlineStr">
        <is>
          <t>E M MAJOR THEÓFILO DE CARVALHO</t>
        </is>
      </c>
      <c r="G180" s="162" t="inlineStr">
        <is>
          <t>SECRETÁRIO</t>
        </is>
      </c>
      <c r="H180" s="162" t="inlineStr">
        <is>
          <t>1060</t>
        </is>
      </c>
      <c r="I180" s="162" t="inlineStr">
        <is>
          <t>ROCINHA, S/N - CEP 25755-340</t>
        </is>
      </c>
      <c r="J180" s="162" t="inlineStr">
        <is>
          <t>(24) 2228-1276</t>
        </is>
      </c>
    </row>
    <row r="181" ht="15" customHeight="1" s="163">
      <c r="F181" s="162" t="inlineStr">
        <is>
          <t>E M JOÃO KOPKE</t>
        </is>
      </c>
      <c r="G181" s="162" t="inlineStr">
        <is>
          <t>FAZENDA INGLESA</t>
        </is>
      </c>
      <c r="H181" s="162" t="inlineStr">
        <is>
          <t>1011</t>
        </is>
      </c>
      <c r="I181" s="162" t="inlineStr">
        <is>
          <t>ESTRADA DA FAZENDA INGLESA, 4695 - CEP 25670-070</t>
        </is>
      </c>
      <c r="J181" s="162" t="inlineStr">
        <is>
          <t>(24) 2245-7626</t>
        </is>
      </c>
    </row>
    <row r="182" ht="15" customHeight="1" s="163">
      <c r="F182" s="162" t="inlineStr">
        <is>
          <t>CEI ASSOCIAÇÃO BENEFICENTE FAZENDA INGLESA</t>
        </is>
      </c>
      <c r="G182" s="162" t="inlineStr">
        <is>
          <t>FAZENDA INGLESA</t>
        </is>
      </c>
      <c r="H182" s="162" t="inlineStr">
        <is>
          <t>3001</t>
        </is>
      </c>
      <c r="I182" s="162" t="inlineStr">
        <is>
          <t>ESTRADA DA FAZENDA INGLESA, 340 - CEP 25670-070</t>
        </is>
      </c>
      <c r="J182" s="162" t="inlineStr">
        <is>
          <t>(24) 99819-5307, (24) 2249-1184</t>
        </is>
      </c>
    </row>
    <row r="183" ht="15" customHeight="1" s="163">
      <c r="F183" s="162" t="inlineStr">
        <is>
          <t>ESCOLA SAO FRANCISCO DE ASSIS</t>
        </is>
      </c>
      <c r="G183" s="162" t="inlineStr">
        <is>
          <t>MOINHO PRETO</t>
        </is>
      </c>
      <c r="H183" s="162" t="inlineStr">
        <is>
          <t>2027</t>
        </is>
      </c>
      <c r="I183" s="162" t="inlineStr">
        <is>
          <t>JOÃO XAVIER, S/N - CEP 25665-442</t>
        </is>
      </c>
      <c r="J183" s="162" t="inlineStr">
        <is>
          <t>(24) 99271-7947, (24) 2235-3818</t>
        </is>
      </c>
    </row>
    <row r="184" ht="15" customHeight="1" s="163">
      <c r="F184" s="162" t="inlineStr">
        <is>
          <t>CEI SÃO FRANCISCO ASSIS</t>
        </is>
      </c>
      <c r="G184" s="162" t="inlineStr">
        <is>
          <t>MOINHO PRETO</t>
        </is>
      </c>
      <c r="H184" s="162" t="inlineStr">
        <is>
          <t>3006</t>
        </is>
      </c>
      <c r="I184" s="162" t="inlineStr">
        <is>
          <t>ESTRADA DA FAZENDA INGLESA, 25 - CEP 25670-070</t>
        </is>
      </c>
      <c r="J184" s="162" t="inlineStr">
        <is>
          <t>(24) 98802-0473, (24) 2020-6093</t>
        </is>
      </c>
    </row>
    <row r="185" ht="15" customHeight="1" s="163">
      <c r="F185" s="162" t="inlineStr">
        <is>
          <t>CEI ALDEIA DA CRIANCA</t>
        </is>
      </c>
      <c r="G185" s="162" t="inlineStr">
        <is>
          <t>CONTORNO</t>
        </is>
      </c>
      <c r="H185" s="162" t="inlineStr">
        <is>
          <t>3026</t>
        </is>
      </c>
      <c r="I185" s="162" t="inlineStr">
        <is>
          <t>BR-040 KM-81, 195 - CEP 25725-592</t>
        </is>
      </c>
      <c r="J185" s="162" t="inlineStr">
        <is>
          <t>(24) 2248-9915, (24) 2248-9960</t>
        </is>
      </c>
    </row>
    <row r="186" ht="15" customHeight="1" s="163">
      <c r="F186" s="162" t="inlineStr">
        <is>
          <t>E M ODETTE FONSECA</t>
        </is>
      </c>
      <c r="G186" s="162" t="inlineStr">
        <is>
          <t>DUQUES</t>
        </is>
      </c>
      <c r="H186" s="162" t="inlineStr">
        <is>
          <t>1013</t>
        </is>
      </c>
      <c r="I186" s="162" t="inlineStr">
        <is>
          <t>ESTRADA RIO PETRÓPOLIS KM 85, 5 - CEP 25650-001</t>
        </is>
      </c>
      <c r="J186" s="162" t="inlineStr">
        <is>
          <t>(24) 2249-2123</t>
        </is>
      </c>
    </row>
    <row r="187" ht="15" customHeight="1" s="163">
      <c r="F187" s="162" t="inlineStr">
        <is>
          <t>CEI ANA CAROLINA TELLES</t>
        </is>
      </c>
      <c r="G187" s="162" t="inlineStr">
        <is>
          <t>DUQUES</t>
        </is>
      </c>
      <c r="H187" s="162" t="inlineStr">
        <is>
          <t>3061</t>
        </is>
      </c>
      <c r="I187" s="162" t="inlineStr">
        <is>
          <t>ESTRADA RIO PETRÓPOLIS KM 85, S/N - CEP 25650-001</t>
        </is>
      </c>
      <c r="J187" s="162" t="inlineStr">
        <is>
          <t>(24) 2242-1643</t>
        </is>
      </c>
    </row>
    <row r="188" ht="15" customHeight="1" s="163">
      <c r="F188" s="162" t="inlineStr">
        <is>
          <t>E M SEBASTIÃO LACERDA</t>
        </is>
      </c>
      <c r="G188" s="162" t="inlineStr">
        <is>
          <t>ROCIO</t>
        </is>
      </c>
      <c r="H188" s="162" t="inlineStr">
        <is>
          <t>1090</t>
        </is>
      </c>
      <c r="I188" s="162" t="inlineStr">
        <is>
          <t>ESTR. DA VARGEM GRANDE, S/N - CEP 25725-621</t>
        </is>
      </c>
      <c r="J188" s="162" t="inlineStr">
        <is>
          <t>(24) 2246-8464</t>
        </is>
      </c>
    </row>
    <row r="189" ht="15" customHeight="1" s="163">
      <c r="F189" s="162" t="inlineStr">
        <is>
          <t>E M DOM PEDRO DE ALCÂNTARA</t>
        </is>
      </c>
      <c r="G189" s="162" t="inlineStr">
        <is>
          <t>SANTA ROSA DE LIMA</t>
        </is>
      </c>
      <c r="H189" s="162" t="inlineStr">
        <is>
          <t>1006</t>
        </is>
      </c>
      <c r="I189" s="162" t="inlineStr">
        <is>
          <t>RODOVIA WASHINGTHON LUIZ, 94 - CEP 25655-000</t>
        </is>
      </c>
      <c r="J189" s="162" t="inlineStr">
        <is>
          <t>(21) 99352-4970</t>
        </is>
      </c>
    </row>
    <row r="190" ht="15" customHeight="1" s="163">
      <c r="F190" s="162" t="inlineStr">
        <is>
          <t>ESCOLA NOSSA SENHORA DE FÁTIMA</t>
        </is>
      </c>
      <c r="G190" s="162" t="inlineStr">
        <is>
          <t>RIO DA CIDADE</t>
        </is>
      </c>
      <c r="H190" s="162" t="inlineStr">
        <is>
          <t>2036</t>
        </is>
      </c>
      <c r="I190" s="162" t="inlineStr">
        <is>
          <t>RODOVIA BR040 KM66, KM 66 - CEP 25725-580</t>
        </is>
      </c>
      <c r="J190" s="162" t="inlineStr">
        <is>
          <t>(24) 2243-9660</t>
        </is>
      </c>
    </row>
    <row r="191" ht="15" customHeight="1" s="163">
      <c r="F191" s="162" t="inlineStr">
        <is>
          <t>ESCOLA PAROQUIAL SÃO FRANCISCO DE ASSIS - BV</t>
        </is>
      </c>
      <c r="G191" s="162" t="inlineStr">
        <is>
          <t>BELA VISTA</t>
        </is>
      </c>
      <c r="H191" s="162" t="inlineStr">
        <is>
          <t>2026</t>
        </is>
      </c>
      <c r="I191" s="162" t="inlineStr">
        <is>
          <t>RUA MARCOLINO SIMÕES FERREIRA, 254 - CEP 25710-165</t>
        </is>
      </c>
      <c r="J191" s="162" t="inlineStr">
        <is>
          <t>(24) 2280-1174, (24) 2020-4881</t>
        </is>
      </c>
    </row>
    <row r="192" ht="15" customHeight="1" s="163">
      <c r="F192" s="162" t="inlineStr">
        <is>
          <t>E M MONSENHOR CIRILLO CALAON</t>
        </is>
      </c>
      <c r="G192" s="162" t="inlineStr">
        <is>
          <t>JARDIM SALVADOR</t>
        </is>
      </c>
      <c r="H192" s="162" t="inlineStr">
        <is>
          <t>1096</t>
        </is>
      </c>
      <c r="I192" s="162" t="inlineStr">
        <is>
          <t>RUA AROLDO MANO, S/N - CEP 25720-045</t>
        </is>
      </c>
      <c r="J192" s="162" t="inlineStr">
        <is>
          <t>(24) 2291-5163, (24) 2291-5173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5.xml><?xml version="1.0" encoding="utf-8"?>
<worksheet xmlns="http://schemas.openxmlformats.org/spreadsheetml/2006/main">
  <sheetPr filterMode="0">
    <outlinePr summaryBelow="1" summaryRight="1"/>
    <pageSetUpPr fitToPage="0"/>
  </sheetPr>
  <dimension ref="A1:B36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63">
      <c r="A1" s="162" t="inlineStr">
        <is>
          <t>COD_MOTIVO</t>
        </is>
      </c>
      <c r="B1" s="162" t="inlineStr">
        <is>
          <t>DEVOLUCAO_KG</t>
        </is>
      </c>
    </row>
    <row r="2" ht="15" customHeight="1" s="163">
      <c r="A2" s="319">
        <f>'E M ABELARDO DE LAMARE'!I9</f>
        <v/>
      </c>
      <c r="B2" s="320">
        <f>'E M ABELARDO DE LAMARE'!D9</f>
        <v/>
      </c>
    </row>
    <row r="3" ht="15" customHeight="1" s="163">
      <c r="A3" s="319">
        <f>'E M ABELARDO DE LAMARE'!I10</f>
        <v/>
      </c>
      <c r="B3" s="320">
        <f>'E M ABELARDO DE LAMARE'!D10</f>
        <v/>
      </c>
    </row>
    <row r="4" ht="15" customHeight="1" s="163">
      <c r="A4" s="319">
        <f>'E M ABELARDO DE LAMARE'!I11</f>
        <v/>
      </c>
      <c r="B4" s="320">
        <f>'E M ABELARDO DE LAMARE'!D11</f>
        <v/>
      </c>
    </row>
    <row r="5" ht="15" customHeight="1" s="163">
      <c r="A5" s="319">
        <f>'E M ABELARDO DE LAMARE'!I12</f>
        <v/>
      </c>
      <c r="B5" s="320">
        <f>'E M ABELARDO DE LAMARE'!D12</f>
        <v/>
      </c>
    </row>
    <row r="6" ht="15" customHeight="1" s="163">
      <c r="A6" s="319">
        <f>'E M ABELARDO DE LAMARE'!I13</f>
        <v/>
      </c>
      <c r="B6" s="320">
        <f>'E M ABELARDO DE LAMARE'!D13</f>
        <v/>
      </c>
    </row>
    <row r="7" ht="15" customHeight="1" s="163">
      <c r="A7" s="319">
        <f>'E M ABELARDO DE LAMARE'!I14</f>
        <v/>
      </c>
      <c r="B7" s="320">
        <f>'E M ABELARDO DE LAMARE'!D14</f>
        <v/>
      </c>
    </row>
    <row r="8" ht="15" customHeight="1" s="163">
      <c r="A8" s="319">
        <f>'E M ABELARDO DE LAMARE'!I15</f>
        <v/>
      </c>
      <c r="B8" s="320">
        <f>'E M ABELARDO DE LAMARE'!D15</f>
        <v/>
      </c>
    </row>
    <row r="9" ht="15" customHeight="1" s="163">
      <c r="A9" s="319">
        <f>'E M ABELARDO DE LAMARE'!I16</f>
        <v/>
      </c>
      <c r="B9" s="320">
        <f>'E M ABELARDO DE LAMARE'!D16</f>
        <v/>
      </c>
    </row>
    <row r="10" ht="15" customHeight="1" s="163">
      <c r="A10" s="319">
        <f>'E M ABELARDO DE LAMARE'!I17</f>
        <v/>
      </c>
      <c r="B10" s="320">
        <f>'E M ABELARDO DE LAMARE'!D17</f>
        <v/>
      </c>
    </row>
    <row r="11" ht="15" customHeight="1" s="163">
      <c r="A11" s="319">
        <f>'E M ABELARDO DE LAMARE'!I18</f>
        <v/>
      </c>
      <c r="B11" s="320">
        <f>'E M ABELARDO DE LAMARE'!D18</f>
        <v/>
      </c>
    </row>
    <row r="12" ht="15" customHeight="1" s="163">
      <c r="A12" s="319">
        <f>'E M ABELARDO DE LAMARE'!I19</f>
        <v/>
      </c>
      <c r="B12" s="320">
        <f>'E M ABELARDO DE LAMARE'!D19</f>
        <v/>
      </c>
    </row>
    <row r="13" ht="15" customHeight="1" s="163">
      <c r="A13" s="319">
        <f>'E M ABELARDO DE LAMARE'!I20</f>
        <v/>
      </c>
      <c r="B13" s="320">
        <f>'E M ABELARDO DE LAMARE'!D20</f>
        <v/>
      </c>
    </row>
    <row r="14" ht="15" customHeight="1" s="163">
      <c r="A14" s="319">
        <f>'E M ABELARDO DE LAMARE'!I21</f>
        <v/>
      </c>
      <c r="B14" s="320">
        <f>'E M ABELARDO DE LAMARE'!D21</f>
        <v/>
      </c>
    </row>
    <row r="15" ht="15" customHeight="1" s="163">
      <c r="A15" s="319">
        <f>'E M ABELARDO DE LAMARE'!I22</f>
        <v/>
      </c>
      <c r="B15" s="320">
        <f>'E M ABELARDO DE LAMARE'!D22</f>
        <v/>
      </c>
    </row>
    <row r="16" ht="15" customHeight="1" s="163">
      <c r="A16" s="319">
        <f>'E M ABELARDO DE LAMARE'!I23</f>
        <v/>
      </c>
      <c r="B16" s="320">
        <f>'E M ABELARDO DE LAMARE'!D23</f>
        <v/>
      </c>
    </row>
    <row r="17" ht="15" customHeight="1" s="163">
      <c r="A17" s="319">
        <f>'E M ABELARDO DE LAMARE'!I24</f>
        <v/>
      </c>
      <c r="B17" s="320">
        <f>'E M ABELARDO DE LAMARE'!D24</f>
        <v/>
      </c>
    </row>
    <row r="18" ht="15" customHeight="1" s="163">
      <c r="A18" s="319">
        <f>'E M ABELARDO DE LAMARE'!I25</f>
        <v/>
      </c>
      <c r="B18" s="320">
        <f>'E M ABELARDO DE LAMARE'!D25</f>
        <v/>
      </c>
    </row>
    <row r="19" ht="15" customHeight="1" s="163">
      <c r="A19" s="319">
        <f>'E M ABELARDO DE LAMARE'!I26</f>
        <v/>
      </c>
      <c r="B19" s="320">
        <f>'E M ABELARDO DE LAMARE'!D26</f>
        <v/>
      </c>
    </row>
    <row r="20" ht="15" customHeight="1" s="163">
      <c r="A20" s="319">
        <f>'E M ABELARDO DE LAMARE'!I27</f>
        <v/>
      </c>
      <c r="B20" s="320">
        <f>'E M ABELARDO DE LAMARE'!D27</f>
        <v/>
      </c>
    </row>
    <row r="21" ht="15" customHeight="1" s="163">
      <c r="A21" s="319">
        <f>'E M BATAILLARD'!I9</f>
        <v/>
      </c>
      <c r="B21" s="320">
        <f>'E M BATAILLARD'!D9</f>
        <v/>
      </c>
    </row>
    <row r="22" ht="15" customHeight="1" s="163">
      <c r="A22" s="319">
        <f>'E M BATAILLARD'!I10</f>
        <v/>
      </c>
      <c r="B22" s="320">
        <f>'E M BATAILLARD'!D10</f>
        <v/>
      </c>
    </row>
    <row r="23" ht="15" customHeight="1" s="163">
      <c r="A23" s="319">
        <f>'E M BATAILLARD'!I11</f>
        <v/>
      </c>
      <c r="B23" s="320">
        <f>'E M BATAILLARD'!D11</f>
        <v/>
      </c>
    </row>
    <row r="24" ht="15" customHeight="1" s="163">
      <c r="A24" s="319">
        <f>'E M BATAILLARD'!I12</f>
        <v/>
      </c>
      <c r="B24" s="320">
        <f>'E M BATAILLARD'!D12</f>
        <v/>
      </c>
    </row>
    <row r="25" ht="15" customHeight="1" s="163">
      <c r="A25" s="319">
        <f>'E M BATAILLARD'!I13</f>
        <v/>
      </c>
      <c r="B25" s="320">
        <f>'E M BATAILLARD'!D13</f>
        <v/>
      </c>
    </row>
    <row r="26" ht="15" customHeight="1" s="163">
      <c r="A26" s="319">
        <f>'E M BATAILLARD'!I14</f>
        <v/>
      </c>
      <c r="B26" s="320">
        <f>'E M BATAILLARD'!D14</f>
        <v/>
      </c>
    </row>
    <row r="27" ht="15" customHeight="1" s="163">
      <c r="A27" s="319">
        <f>'E M BATAILLARD'!I15</f>
        <v/>
      </c>
      <c r="B27" s="320">
        <f>'E M BATAILLARD'!D15</f>
        <v/>
      </c>
    </row>
    <row r="28" ht="15" customHeight="1" s="163">
      <c r="A28" s="319">
        <f>'E M BATAILLARD'!I16</f>
        <v/>
      </c>
      <c r="B28" s="320">
        <f>'E M BATAILLARD'!D16</f>
        <v/>
      </c>
    </row>
    <row r="29" ht="15" customHeight="1" s="163">
      <c r="A29" s="319">
        <f>'E M BATAILLARD'!I17</f>
        <v/>
      </c>
      <c r="B29" s="320">
        <f>'E M BATAILLARD'!D17</f>
        <v/>
      </c>
    </row>
    <row r="30" ht="15" customHeight="1" s="163">
      <c r="A30" s="319">
        <f>'E M BATAILLARD'!I18</f>
        <v/>
      </c>
      <c r="B30" s="320">
        <f>'E M BATAILLARD'!D18</f>
        <v/>
      </c>
    </row>
    <row r="31" ht="15" customHeight="1" s="163">
      <c r="A31" s="319">
        <f>'E M BATAILLARD'!I19</f>
        <v/>
      </c>
      <c r="B31" s="320">
        <f>'E M BATAILLARD'!D19</f>
        <v/>
      </c>
    </row>
    <row r="32" ht="15" customHeight="1" s="163">
      <c r="A32" s="319">
        <f>'E M BATAILLARD'!I20</f>
        <v/>
      </c>
      <c r="B32" s="320">
        <f>'E M BATAILLARD'!D20</f>
        <v/>
      </c>
    </row>
    <row r="33" ht="15" customHeight="1" s="163">
      <c r="A33" s="319">
        <f>'E M BATAILLARD'!I21</f>
        <v/>
      </c>
      <c r="B33" s="320">
        <f>'E M BATAILLARD'!D21</f>
        <v/>
      </c>
    </row>
    <row r="34" ht="15" customHeight="1" s="163">
      <c r="A34" s="319">
        <f>'E M BATAILLARD'!I22</f>
        <v/>
      </c>
      <c r="B34" s="320">
        <f>'E M BATAILLARD'!D22</f>
        <v/>
      </c>
    </row>
    <row r="35" ht="15" customHeight="1" s="163">
      <c r="A35" s="319">
        <f>'E M BATAILLARD'!I23</f>
        <v/>
      </c>
      <c r="B35" s="320">
        <f>'E M BATAILLARD'!D23</f>
        <v/>
      </c>
    </row>
    <row r="36" ht="15" customHeight="1" s="163">
      <c r="A36" s="319">
        <f>'E M BATAILLARD'!I24</f>
        <v/>
      </c>
      <c r="B36" s="320">
        <f>'E M BATAILLARD'!D24</f>
        <v/>
      </c>
    </row>
    <row r="37" ht="15" customHeight="1" s="163">
      <c r="A37" s="319">
        <f>'E M BATAILLARD'!I25</f>
        <v/>
      </c>
      <c r="B37" s="320">
        <f>'E M BATAILLARD'!D25</f>
        <v/>
      </c>
    </row>
    <row r="38" ht="15" customHeight="1" s="163">
      <c r="A38" s="319">
        <f>'E M BATAILLARD'!I26</f>
        <v/>
      </c>
      <c r="B38" s="320">
        <f>'E M BATAILLARD'!D26</f>
        <v/>
      </c>
    </row>
    <row r="39" ht="15" customHeight="1" s="163">
      <c r="A39" s="319">
        <f>'E M BATAILLARD'!I27</f>
        <v/>
      </c>
      <c r="B39" s="320">
        <f>'E M BATAILLARD'!D27</f>
        <v/>
      </c>
    </row>
    <row r="40" ht="15" customHeight="1" s="163">
      <c r="A40" s="319">
        <f>'E M LEONARDO BOFF'!I9</f>
        <v/>
      </c>
      <c r="B40" s="320">
        <f>'E M LEONARDO BOFF'!D9</f>
        <v/>
      </c>
    </row>
    <row r="41" ht="15" customHeight="1" s="163">
      <c r="A41" s="319">
        <f>'E M LEONARDO BOFF'!I10</f>
        <v/>
      </c>
      <c r="B41" s="320">
        <f>'E M LEONARDO BOFF'!D10</f>
        <v/>
      </c>
    </row>
    <row r="42" ht="15" customHeight="1" s="163">
      <c r="A42" s="319">
        <f>'E M LEONARDO BOFF'!I11</f>
        <v/>
      </c>
      <c r="B42" s="320">
        <f>'E M LEONARDO BOFF'!D11</f>
        <v/>
      </c>
    </row>
    <row r="43" ht="15" customHeight="1" s="163">
      <c r="A43" s="319">
        <f>'E M LEONARDO BOFF'!I12</f>
        <v/>
      </c>
      <c r="B43" s="320">
        <f>'E M LEONARDO BOFF'!D12</f>
        <v/>
      </c>
    </row>
    <row r="44" ht="15" customHeight="1" s="163">
      <c r="A44" s="319">
        <f>'E M LEONARDO BOFF'!I13</f>
        <v/>
      </c>
      <c r="B44" s="320">
        <f>'E M LEONARDO BOFF'!D13</f>
        <v/>
      </c>
    </row>
    <row r="45" ht="15" customHeight="1" s="163">
      <c r="A45" s="319">
        <f>'E M LEONARDO BOFF'!I14</f>
        <v/>
      </c>
      <c r="B45" s="320">
        <f>'E M LEONARDO BOFF'!D14</f>
        <v/>
      </c>
    </row>
    <row r="46" ht="15" customHeight="1" s="163">
      <c r="A46" s="319">
        <f>'E M LEONARDO BOFF'!I15</f>
        <v/>
      </c>
      <c r="B46" s="320">
        <f>'E M LEONARDO BOFF'!D15</f>
        <v/>
      </c>
    </row>
    <row r="47" ht="15" customHeight="1" s="163">
      <c r="A47" s="319">
        <f>'E M LEONARDO BOFF'!I16</f>
        <v/>
      </c>
      <c r="B47" s="320">
        <f>'E M LEONARDO BOFF'!D16</f>
        <v/>
      </c>
    </row>
    <row r="48" ht="15" customHeight="1" s="163">
      <c r="A48" s="319">
        <f>'E M LEONARDO BOFF'!I17</f>
        <v/>
      </c>
      <c r="B48" s="320">
        <f>'E M LEONARDO BOFF'!D17</f>
        <v/>
      </c>
    </row>
    <row r="49" ht="15" customHeight="1" s="163">
      <c r="A49" s="319">
        <f>'E M LEONARDO BOFF'!I18</f>
        <v/>
      </c>
      <c r="B49" s="320">
        <f>'E M LEONARDO BOFF'!D18</f>
        <v/>
      </c>
    </row>
    <row r="50" ht="15" customHeight="1" s="163">
      <c r="A50" s="319">
        <f>'E M LEONARDO BOFF'!I19</f>
        <v/>
      </c>
      <c r="B50" s="320">
        <f>'E M LEONARDO BOFF'!D19</f>
        <v/>
      </c>
    </row>
    <row r="51" ht="15" customHeight="1" s="163">
      <c r="A51" s="319">
        <f>'E M LEONARDO BOFF'!I20</f>
        <v/>
      </c>
      <c r="B51" s="320">
        <f>'E M LEONARDO BOFF'!D20</f>
        <v/>
      </c>
    </row>
    <row r="52" ht="15" customHeight="1" s="163">
      <c r="A52" s="319">
        <f>'E M LEONARDO BOFF'!I21</f>
        <v/>
      </c>
      <c r="B52" s="320">
        <f>'E M LEONARDO BOFF'!D21</f>
        <v/>
      </c>
    </row>
    <row r="53" ht="15" customHeight="1" s="163">
      <c r="A53" s="319">
        <f>'E M LEONARDO BOFF'!I22</f>
        <v/>
      </c>
      <c r="B53" s="320">
        <f>'E M LEONARDO BOFF'!D22</f>
        <v/>
      </c>
    </row>
    <row r="54" ht="15" customHeight="1" s="163">
      <c r="A54" s="319">
        <f>'E M LEONARDO BOFF'!I23</f>
        <v/>
      </c>
      <c r="B54" s="320">
        <f>'E M LEONARDO BOFF'!D23</f>
        <v/>
      </c>
    </row>
    <row r="55" ht="15" customHeight="1" s="163">
      <c r="A55" s="319">
        <f>'E M LEONARDO BOFF'!I24</f>
        <v/>
      </c>
      <c r="B55" s="320">
        <f>'E M LEONARDO BOFF'!D24</f>
        <v/>
      </c>
    </row>
    <row r="56" ht="15" customHeight="1" s="163">
      <c r="A56" s="319">
        <f>'E M LEONARDO BOFF'!I25</f>
        <v/>
      </c>
      <c r="B56" s="320">
        <f>'E M LEONARDO BOFF'!D25</f>
        <v/>
      </c>
    </row>
    <row r="57" ht="15" customHeight="1" s="163">
      <c r="A57" s="319">
        <f>'E M LEONARDO BOFF'!I26</f>
        <v/>
      </c>
      <c r="B57" s="320">
        <f>'E M LEONARDO BOFF'!D26</f>
        <v/>
      </c>
    </row>
    <row r="58" ht="15" customHeight="1" s="163">
      <c r="A58" s="319">
        <f>'E M LEONARDO BOFF'!I27</f>
        <v/>
      </c>
      <c r="B58" s="320">
        <f>'E M LEONARDO BOFF'!D27</f>
        <v/>
      </c>
    </row>
    <row r="59" ht="15" customHeight="1" s="163">
      <c r="A59" s="319">
        <f>'E M CLEMENTE FERNANDES'!I9</f>
        <v/>
      </c>
      <c r="B59" s="320">
        <f>'E M CLEMENTE FERNANDES'!D9</f>
        <v/>
      </c>
    </row>
    <row r="60" ht="15" customHeight="1" s="163">
      <c r="A60" s="319">
        <f>'E M CLEMENTE FERNANDES'!I10</f>
        <v/>
      </c>
      <c r="B60" s="320">
        <f>'E M CLEMENTE FERNANDES'!D10</f>
        <v/>
      </c>
    </row>
    <row r="61" ht="15" customHeight="1" s="163">
      <c r="A61" s="319">
        <f>'E M CLEMENTE FERNANDES'!I11</f>
        <v/>
      </c>
      <c r="B61" s="320">
        <f>'E M CLEMENTE FERNANDES'!D11</f>
        <v/>
      </c>
    </row>
    <row r="62" ht="15" customHeight="1" s="163">
      <c r="A62" s="319">
        <f>'E M CLEMENTE FERNANDES'!I12</f>
        <v/>
      </c>
      <c r="B62" s="320">
        <f>'E M CLEMENTE FERNANDES'!D12</f>
        <v/>
      </c>
    </row>
    <row r="63" ht="15" customHeight="1" s="163">
      <c r="A63" s="319">
        <f>'E M CLEMENTE FERNANDES'!I13</f>
        <v/>
      </c>
      <c r="B63" s="320">
        <f>'E M CLEMENTE FERNANDES'!D13</f>
        <v/>
      </c>
    </row>
    <row r="64" ht="15" customHeight="1" s="163">
      <c r="A64" s="319">
        <f>'E M CLEMENTE FERNANDES'!I14</f>
        <v/>
      </c>
      <c r="B64" s="320">
        <f>'E M CLEMENTE FERNANDES'!D14</f>
        <v/>
      </c>
    </row>
    <row r="65" ht="15" customHeight="1" s="163">
      <c r="A65" s="319">
        <f>'E M CLEMENTE FERNANDES'!I15</f>
        <v/>
      </c>
      <c r="B65" s="320">
        <f>'E M CLEMENTE FERNANDES'!D15</f>
        <v/>
      </c>
    </row>
    <row r="66" ht="15" customHeight="1" s="163">
      <c r="A66" s="319">
        <f>'E M CLEMENTE FERNANDES'!I16</f>
        <v/>
      </c>
      <c r="B66" s="320">
        <f>'E M CLEMENTE FERNANDES'!D16</f>
        <v/>
      </c>
    </row>
    <row r="67" ht="15" customHeight="1" s="163">
      <c r="A67" s="319">
        <f>'E M CLEMENTE FERNANDES'!I17</f>
        <v/>
      </c>
      <c r="B67" s="320">
        <f>'E M CLEMENTE FERNANDES'!D17</f>
        <v/>
      </c>
    </row>
    <row r="68" ht="15" customHeight="1" s="163">
      <c r="A68" s="319">
        <f>'E M CLEMENTE FERNANDES'!I18</f>
        <v/>
      </c>
      <c r="B68" s="320">
        <f>'E M CLEMENTE FERNANDES'!D18</f>
        <v/>
      </c>
    </row>
    <row r="69" ht="15" customHeight="1" s="163">
      <c r="A69" s="319">
        <f>'E M CLEMENTE FERNANDES'!I19</f>
        <v/>
      </c>
      <c r="B69" s="320">
        <f>'E M CLEMENTE FERNANDES'!D19</f>
        <v/>
      </c>
    </row>
    <row r="70" ht="15" customHeight="1" s="163">
      <c r="A70" s="319">
        <f>'E M CLEMENTE FERNANDES'!I20</f>
        <v/>
      </c>
      <c r="B70" s="320">
        <f>'E M CLEMENTE FERNANDES'!D20</f>
        <v/>
      </c>
    </row>
    <row r="71" ht="15" customHeight="1" s="163">
      <c r="A71" s="319">
        <f>'E M CLEMENTE FERNANDES'!I21</f>
        <v/>
      </c>
      <c r="B71" s="320">
        <f>'E M CLEMENTE FERNANDES'!D21</f>
        <v/>
      </c>
    </row>
    <row r="72" ht="15" customHeight="1" s="163">
      <c r="A72" s="319">
        <f>'E M CLEMENTE FERNANDES'!I22</f>
        <v/>
      </c>
      <c r="B72" s="320">
        <f>'E M CLEMENTE FERNANDES'!D22</f>
        <v/>
      </c>
    </row>
    <row r="73" ht="15" customHeight="1" s="163">
      <c r="A73" s="319">
        <f>'E M CLEMENTE FERNANDES'!I23</f>
        <v/>
      </c>
      <c r="B73" s="320">
        <f>'E M CLEMENTE FERNANDES'!D23</f>
        <v/>
      </c>
    </row>
    <row r="74" ht="15" customHeight="1" s="163">
      <c r="A74" s="319">
        <f>'E M CLEMENTE FERNANDES'!I24</f>
        <v/>
      </c>
      <c r="B74" s="320">
        <f>'E M CLEMENTE FERNANDES'!D24</f>
        <v/>
      </c>
    </row>
    <row r="75" ht="15" customHeight="1" s="163">
      <c r="A75" s="319">
        <f>'E M CLEMENTE FERNANDES'!I25</f>
        <v/>
      </c>
      <c r="B75" s="320">
        <f>'E M CLEMENTE FERNANDES'!D25</f>
        <v/>
      </c>
    </row>
    <row r="76" ht="15" customHeight="1" s="163">
      <c r="A76" s="319">
        <f>'E M CLEMENTE FERNANDES'!I26</f>
        <v/>
      </c>
      <c r="B76" s="320">
        <f>'E M CLEMENTE FERNANDES'!D26</f>
        <v/>
      </c>
    </row>
    <row r="77" ht="15" customHeight="1" s="163">
      <c r="A77" s="319">
        <f>'E M CLEMENTE FERNANDES'!I27</f>
        <v/>
      </c>
      <c r="B77" s="320">
        <f>'E M CLEMENTE FERNANDES'!D27</f>
        <v/>
      </c>
    </row>
    <row r="78" ht="15" customHeight="1" s="163">
      <c r="A78" s="319">
        <f>'E M DOM PEDRO DE ALCÂNTARA'!I9</f>
        <v/>
      </c>
      <c r="B78" s="320">
        <f>'E M DOM PEDRO DE ALCÂNTARA'!D9</f>
        <v/>
      </c>
    </row>
    <row r="79" ht="15" customHeight="1" s="163">
      <c r="A79" s="319">
        <f>'E M DOM PEDRO DE ALCÂNTARA'!I10</f>
        <v/>
      </c>
      <c r="B79" s="320">
        <f>'E M DOM PEDRO DE ALCÂNTARA'!D10</f>
        <v/>
      </c>
    </row>
    <row r="80" ht="15" customHeight="1" s="163">
      <c r="A80" s="319">
        <f>'E M DOM PEDRO DE ALCÂNTARA'!I11</f>
        <v/>
      </c>
      <c r="B80" s="320">
        <f>'E M DOM PEDRO DE ALCÂNTARA'!D11</f>
        <v/>
      </c>
    </row>
    <row r="81" ht="15" customHeight="1" s="163">
      <c r="A81" s="319">
        <f>'E M DOM PEDRO DE ALCÂNTARA'!I12</f>
        <v/>
      </c>
      <c r="B81" s="320">
        <f>'E M DOM PEDRO DE ALCÂNTARA'!D12</f>
        <v/>
      </c>
    </row>
    <row r="82" ht="15" customHeight="1" s="163">
      <c r="A82" s="319">
        <f>'E M DOM PEDRO DE ALCÂNTARA'!I13</f>
        <v/>
      </c>
      <c r="B82" s="320">
        <f>'E M DOM PEDRO DE ALCÂNTARA'!D13</f>
        <v/>
      </c>
    </row>
    <row r="83" ht="15" customHeight="1" s="163">
      <c r="A83" s="319">
        <f>'E M DOM PEDRO DE ALCÂNTARA'!I14</f>
        <v/>
      </c>
      <c r="B83" s="320">
        <f>'E M DOM PEDRO DE ALCÂNTARA'!D14</f>
        <v/>
      </c>
    </row>
    <row r="84" ht="15" customHeight="1" s="163">
      <c r="A84" s="319">
        <f>'E M DOM PEDRO DE ALCÂNTARA'!I15</f>
        <v/>
      </c>
      <c r="B84" s="320">
        <f>'E M DOM PEDRO DE ALCÂNTARA'!D15</f>
        <v/>
      </c>
    </row>
    <row r="85" ht="15" customHeight="1" s="163">
      <c r="A85" s="319">
        <f>'E M DOM PEDRO DE ALCÂNTARA'!I16</f>
        <v/>
      </c>
      <c r="B85" s="320">
        <f>'E M DOM PEDRO DE ALCÂNTARA'!D16</f>
        <v/>
      </c>
    </row>
    <row r="86" ht="15" customHeight="1" s="163">
      <c r="A86" s="319">
        <f>'E M DOM PEDRO DE ALCÂNTARA'!I17</f>
        <v/>
      </c>
      <c r="B86" s="320">
        <f>'E M DOM PEDRO DE ALCÂNTARA'!D17</f>
        <v/>
      </c>
    </row>
    <row r="87" ht="15" customHeight="1" s="163">
      <c r="A87" s="319">
        <f>'E M DOM PEDRO DE ALCÂNTARA'!I18</f>
        <v/>
      </c>
      <c r="B87" s="320">
        <f>'E M DOM PEDRO DE ALCÂNTARA'!D18</f>
        <v/>
      </c>
    </row>
    <row r="88" ht="15" customHeight="1" s="163">
      <c r="A88" s="319">
        <f>'E M DOM PEDRO DE ALCÂNTARA'!I19</f>
        <v/>
      </c>
      <c r="B88" s="320">
        <f>'E M DOM PEDRO DE ALCÂNTARA'!D19</f>
        <v/>
      </c>
    </row>
    <row r="89" ht="15" customHeight="1" s="163">
      <c r="A89" s="319">
        <f>'E M DOM PEDRO DE ALCÂNTARA'!I20</f>
        <v/>
      </c>
      <c r="B89" s="320">
        <f>'E M DOM PEDRO DE ALCÂNTARA'!D20</f>
        <v/>
      </c>
    </row>
    <row r="90" ht="15" customHeight="1" s="163">
      <c r="A90" s="319">
        <f>'E M DOM PEDRO DE ALCÂNTARA'!I21</f>
        <v/>
      </c>
      <c r="B90" s="320">
        <f>'E M DOM PEDRO DE ALCÂNTARA'!D21</f>
        <v/>
      </c>
    </row>
    <row r="91" ht="15" customHeight="1" s="163">
      <c r="A91" s="319">
        <f>'E M DOM PEDRO DE ALCÂNTARA'!I22</f>
        <v/>
      </c>
      <c r="B91" s="320">
        <f>'E M DOM PEDRO DE ALCÂNTARA'!D22</f>
        <v/>
      </c>
    </row>
    <row r="92" ht="15" customHeight="1" s="163">
      <c r="A92" s="319">
        <f>'E M DOM PEDRO DE ALCÂNTARA'!I23</f>
        <v/>
      </c>
      <c r="B92" s="320">
        <f>'E M DOM PEDRO DE ALCÂNTARA'!D23</f>
        <v/>
      </c>
    </row>
    <row r="93" ht="15" customHeight="1" s="163">
      <c r="A93" s="319">
        <f>'E M DOM PEDRO DE ALCÂNTARA'!I24</f>
        <v/>
      </c>
      <c r="B93" s="320">
        <f>'E M DOM PEDRO DE ALCÂNTARA'!D24</f>
        <v/>
      </c>
    </row>
    <row r="94" ht="15" customHeight="1" s="163">
      <c r="A94" s="319">
        <f>'E M DOM PEDRO DE ALCÂNTARA'!I25</f>
        <v/>
      </c>
      <c r="B94" s="320">
        <f>'E M DOM PEDRO DE ALCÂNTARA'!D25</f>
        <v/>
      </c>
    </row>
    <row r="95" ht="15" customHeight="1" s="163">
      <c r="A95" s="319">
        <f>'E M DOM PEDRO DE ALCÂNTARA'!I26</f>
        <v/>
      </c>
      <c r="B95" s="320">
        <f>'E M DOM PEDRO DE ALCÂNTARA'!D26</f>
        <v/>
      </c>
    </row>
    <row r="96" ht="15" customHeight="1" s="163">
      <c r="A96" s="319">
        <f>'E M DOM PEDRO DE ALCÂNTARA'!I27</f>
        <v/>
      </c>
      <c r="B96" s="320">
        <f>'E M DOM PEDRO DE ALCÂNTARA'!D27</f>
        <v/>
      </c>
    </row>
    <row r="97" ht="15" customHeight="1" s="163">
      <c r="A97" s="319">
        <f>'E M DUQUE DE CAXIAS'!I9</f>
        <v/>
      </c>
      <c r="B97" s="320">
        <f>'E M DUQUE DE CAXIAS'!D9</f>
        <v/>
      </c>
    </row>
    <row r="98" ht="15" customHeight="1" s="163">
      <c r="A98" s="319">
        <f>'E M DUQUE DE CAXIAS'!I10</f>
        <v/>
      </c>
      <c r="B98" s="320">
        <f>'E M DUQUE DE CAXIAS'!D10</f>
        <v/>
      </c>
    </row>
    <row r="99" ht="15" customHeight="1" s="163">
      <c r="A99" s="319">
        <f>'E M DUQUE DE CAXIAS'!I11</f>
        <v/>
      </c>
      <c r="B99" s="320">
        <f>'E M DUQUE DE CAXIAS'!D11</f>
        <v/>
      </c>
    </row>
    <row r="100" ht="15" customHeight="1" s="163">
      <c r="A100" s="319">
        <f>'E M DUQUE DE CAXIAS'!I12</f>
        <v/>
      </c>
      <c r="B100" s="320">
        <f>'E M DUQUE DE CAXIAS'!D12</f>
        <v/>
      </c>
    </row>
    <row r="101" ht="15" customHeight="1" s="163">
      <c r="A101" s="319">
        <f>'E M DUQUE DE CAXIAS'!I13</f>
        <v/>
      </c>
      <c r="B101" s="320">
        <f>'E M DUQUE DE CAXIAS'!D13</f>
        <v/>
      </c>
    </row>
    <row r="102" ht="15" customHeight="1" s="163">
      <c r="A102" s="319">
        <f>'E M DUQUE DE CAXIAS'!I14</f>
        <v/>
      </c>
      <c r="B102" s="320">
        <f>'E M DUQUE DE CAXIAS'!D14</f>
        <v/>
      </c>
    </row>
    <row r="103" ht="15" customHeight="1" s="163">
      <c r="A103" s="319">
        <f>'E M DUQUE DE CAXIAS'!I15</f>
        <v/>
      </c>
      <c r="B103" s="320">
        <f>'E M DUQUE DE CAXIAS'!D15</f>
        <v/>
      </c>
    </row>
    <row r="104" ht="15" customHeight="1" s="163">
      <c r="A104" s="319">
        <f>'E M DUQUE DE CAXIAS'!I16</f>
        <v/>
      </c>
      <c r="B104" s="320">
        <f>'E M DUQUE DE CAXIAS'!D16</f>
        <v/>
      </c>
    </row>
    <row r="105" ht="15" customHeight="1" s="163">
      <c r="A105" s="319">
        <f>'E M DUQUE DE CAXIAS'!I17</f>
        <v/>
      </c>
      <c r="B105" s="320">
        <f>'E M DUQUE DE CAXIAS'!D17</f>
        <v/>
      </c>
    </row>
    <row r="106" ht="15" customHeight="1" s="163">
      <c r="A106" s="319">
        <f>'E M DUQUE DE CAXIAS'!I18</f>
        <v/>
      </c>
      <c r="B106" s="320">
        <f>'E M DUQUE DE CAXIAS'!D18</f>
        <v/>
      </c>
    </row>
    <row r="107" ht="15" customHeight="1" s="163">
      <c r="A107" s="319">
        <f>'E M DUQUE DE CAXIAS'!I19</f>
        <v/>
      </c>
      <c r="B107" s="320">
        <f>'E M DUQUE DE CAXIAS'!D19</f>
        <v/>
      </c>
    </row>
    <row r="108" ht="15" customHeight="1" s="163">
      <c r="A108" s="319">
        <f>'E M DUQUE DE CAXIAS'!I20</f>
        <v/>
      </c>
      <c r="B108" s="320">
        <f>'E M DUQUE DE CAXIAS'!D20</f>
        <v/>
      </c>
    </row>
    <row r="109" ht="15" customHeight="1" s="163">
      <c r="A109" s="319">
        <f>'E M DUQUE DE CAXIAS'!I21</f>
        <v/>
      </c>
      <c r="B109" s="320">
        <f>'E M DUQUE DE CAXIAS'!D21</f>
        <v/>
      </c>
    </row>
    <row r="110" ht="15" customHeight="1" s="163">
      <c r="A110" s="319">
        <f>'E M DUQUE DE CAXIAS'!I22</f>
        <v/>
      </c>
      <c r="B110" s="320">
        <f>'E M DUQUE DE CAXIAS'!D22</f>
        <v/>
      </c>
    </row>
    <row r="111" ht="15" customHeight="1" s="163">
      <c r="A111" s="319">
        <f>'E M DUQUE DE CAXIAS'!I23</f>
        <v/>
      </c>
      <c r="B111" s="320">
        <f>'E M DUQUE DE CAXIAS'!D23</f>
        <v/>
      </c>
    </row>
    <row r="112" ht="15" customHeight="1" s="163">
      <c r="A112" s="319">
        <f>'E M DUQUE DE CAXIAS'!I24</f>
        <v/>
      </c>
      <c r="B112" s="320">
        <f>'E M DUQUE DE CAXIAS'!D24</f>
        <v/>
      </c>
    </row>
    <row r="113" ht="15" customHeight="1" s="163">
      <c r="A113" s="319">
        <f>'E M DUQUE DE CAXIAS'!I25</f>
        <v/>
      </c>
      <c r="B113" s="320">
        <f>'E M DUQUE DE CAXIAS'!D25</f>
        <v/>
      </c>
    </row>
    <row r="114" ht="15" customHeight="1" s="163">
      <c r="A114" s="319">
        <f>'E M DUQUE DE CAXIAS'!I26</f>
        <v/>
      </c>
      <c r="B114" s="320">
        <f>'E M DUQUE DE CAXIAS'!D26</f>
        <v/>
      </c>
    </row>
    <row r="115" ht="15" customHeight="1" s="163">
      <c r="A115" s="319">
        <f>'E M DUQUE DE CAXIAS'!I27</f>
        <v/>
      </c>
      <c r="B115" s="320">
        <f>'E M DUQUE DE CAXIAS'!D27</f>
        <v/>
      </c>
    </row>
    <row r="116" ht="15" customHeight="1" s="163">
      <c r="A116" s="319">
        <f>'E M LUIZ CARLOS SOARES'!I9</f>
        <v/>
      </c>
      <c r="B116" s="320">
        <f>'E M LUIZ CARLOS SOARES'!D9</f>
        <v/>
      </c>
    </row>
    <row r="117" ht="15" customHeight="1" s="163">
      <c r="A117" s="319">
        <f>'E M LUIZ CARLOS SOARES'!I10</f>
        <v/>
      </c>
      <c r="B117" s="320">
        <f>'E M LUIZ CARLOS SOARES'!D10</f>
        <v/>
      </c>
    </row>
    <row r="118" ht="15" customHeight="1" s="163">
      <c r="A118" s="319">
        <f>'E M LUIZ CARLOS SOARES'!I11</f>
        <v/>
      </c>
      <c r="B118" s="320">
        <f>'E M LUIZ CARLOS SOARES'!D11</f>
        <v/>
      </c>
    </row>
    <row r="119" ht="15" customHeight="1" s="163">
      <c r="A119" s="319">
        <f>'E M LUIZ CARLOS SOARES'!I12</f>
        <v/>
      </c>
      <c r="B119" s="320">
        <f>'E M LUIZ CARLOS SOARES'!D12</f>
        <v/>
      </c>
    </row>
    <row r="120" ht="15" customHeight="1" s="163">
      <c r="A120" s="319">
        <f>'E M LUIZ CARLOS SOARES'!I13</f>
        <v/>
      </c>
      <c r="B120" s="320">
        <f>'E M LUIZ CARLOS SOARES'!D13</f>
        <v/>
      </c>
    </row>
    <row r="121" ht="15" customHeight="1" s="163">
      <c r="A121" s="319">
        <f>'E M LUIZ CARLOS SOARES'!I14</f>
        <v/>
      </c>
      <c r="B121" s="320">
        <f>'E M LUIZ CARLOS SOARES'!D14</f>
        <v/>
      </c>
    </row>
    <row r="122" ht="15" customHeight="1" s="163">
      <c r="A122" s="319">
        <f>'E M LUIZ CARLOS SOARES'!I15</f>
        <v/>
      </c>
      <c r="B122" s="320">
        <f>'E M LUIZ CARLOS SOARES'!D15</f>
        <v/>
      </c>
    </row>
    <row r="123" ht="15" customHeight="1" s="163">
      <c r="A123" s="319">
        <f>'E M LUIZ CARLOS SOARES'!I16</f>
        <v/>
      </c>
      <c r="B123" s="320">
        <f>'E M LUIZ CARLOS SOARES'!D16</f>
        <v/>
      </c>
    </row>
    <row r="124" ht="15" customHeight="1" s="163">
      <c r="A124" s="319">
        <f>'E M LUIZ CARLOS SOARES'!I17</f>
        <v/>
      </c>
      <c r="B124" s="320">
        <f>'E M LUIZ CARLOS SOARES'!D17</f>
        <v/>
      </c>
    </row>
    <row r="125" ht="15" customHeight="1" s="163">
      <c r="A125" s="319">
        <f>'E M LUIZ CARLOS SOARES'!I18</f>
        <v/>
      </c>
      <c r="B125" s="320">
        <f>'E M LUIZ CARLOS SOARES'!D18</f>
        <v/>
      </c>
    </row>
    <row r="126" ht="15" customHeight="1" s="163">
      <c r="A126" s="319">
        <f>'E M LUIZ CARLOS SOARES'!I19</f>
        <v/>
      </c>
      <c r="B126" s="320">
        <f>'E M LUIZ CARLOS SOARES'!D19</f>
        <v/>
      </c>
    </row>
    <row r="127" ht="15" customHeight="1" s="163">
      <c r="A127" s="319">
        <f>'E M LUIZ CARLOS SOARES'!I20</f>
        <v/>
      </c>
      <c r="B127" s="320">
        <f>'E M LUIZ CARLOS SOARES'!D20</f>
        <v/>
      </c>
    </row>
    <row r="128" ht="15" customHeight="1" s="163">
      <c r="A128" s="319">
        <f>'E M LUIZ CARLOS SOARES'!I21</f>
        <v/>
      </c>
      <c r="B128" s="320">
        <f>'E M LUIZ CARLOS SOARES'!D21</f>
        <v/>
      </c>
    </row>
    <row r="129" ht="15" customHeight="1" s="163">
      <c r="A129" s="319">
        <f>'E M LUIZ CARLOS SOARES'!I22</f>
        <v/>
      </c>
      <c r="B129" s="320">
        <f>'E M LUIZ CARLOS SOARES'!D22</f>
        <v/>
      </c>
    </row>
    <row r="130" ht="15" customHeight="1" s="163">
      <c r="A130" s="319">
        <f>'E M LUIZ CARLOS SOARES'!I23</f>
        <v/>
      </c>
      <c r="B130" s="320">
        <f>'E M LUIZ CARLOS SOARES'!D23</f>
        <v/>
      </c>
    </row>
    <row r="131" ht="15" customHeight="1" s="163">
      <c r="A131" s="319">
        <f>'E M LUIZ CARLOS SOARES'!I24</f>
        <v/>
      </c>
      <c r="B131" s="320">
        <f>'E M LUIZ CARLOS SOARES'!D24</f>
        <v/>
      </c>
    </row>
    <row r="132" ht="15" customHeight="1" s="163">
      <c r="A132" s="319">
        <f>'E M LUIZ CARLOS SOARES'!I25</f>
        <v/>
      </c>
      <c r="B132" s="320">
        <f>'E M LUIZ CARLOS SOARES'!D25</f>
        <v/>
      </c>
    </row>
    <row r="133" ht="15" customHeight="1" s="163">
      <c r="A133" s="319">
        <f>'E M LUIZ CARLOS SOARES'!I26</f>
        <v/>
      </c>
      <c r="B133" s="320">
        <f>'E M LUIZ CARLOS SOARES'!D26</f>
        <v/>
      </c>
    </row>
    <row r="134" ht="15" customHeight="1" s="163">
      <c r="A134" s="319">
        <f>'E M LUIZ CARLOS SOARES'!I27</f>
        <v/>
      </c>
      <c r="B134" s="320">
        <f>'E M LUIZ CARLOS SOARES'!D27</f>
        <v/>
      </c>
    </row>
    <row r="135" ht="15" customHeight="1" s="163">
      <c r="A135" s="319">
        <f>'ESCOLA MUNICIPAL GENERAL HEITOR'!I9</f>
        <v/>
      </c>
      <c r="B135" s="320">
        <f>'ESCOLA MUNICIPAL GENERAL HEITOR'!D9</f>
        <v/>
      </c>
    </row>
    <row r="136" ht="15" customHeight="1" s="163">
      <c r="A136" s="319">
        <f>'ESCOLA MUNICIPAL GENERAL HEITOR'!I10</f>
        <v/>
      </c>
      <c r="B136" s="320">
        <f>'ESCOLA MUNICIPAL GENERAL HEITOR'!D10</f>
        <v/>
      </c>
    </row>
    <row r="137" ht="15" customHeight="1" s="163">
      <c r="A137" s="319">
        <f>'ESCOLA MUNICIPAL GENERAL HEITOR'!I11</f>
        <v/>
      </c>
      <c r="B137" s="320">
        <f>'ESCOLA MUNICIPAL GENERAL HEITOR'!D11</f>
        <v/>
      </c>
    </row>
    <row r="138" ht="15" customHeight="1" s="163">
      <c r="A138" s="319">
        <f>'ESCOLA MUNICIPAL GENERAL HEITOR'!I12</f>
        <v/>
      </c>
      <c r="B138" s="320">
        <f>'ESCOLA MUNICIPAL GENERAL HEITOR'!D12</f>
        <v/>
      </c>
    </row>
    <row r="139" ht="15" customHeight="1" s="163">
      <c r="A139" s="319">
        <f>'ESCOLA MUNICIPAL GENERAL HEITOR'!I13</f>
        <v/>
      </c>
      <c r="B139" s="320">
        <f>'ESCOLA MUNICIPAL GENERAL HEITOR'!D13</f>
        <v/>
      </c>
    </row>
    <row r="140" ht="15" customHeight="1" s="163">
      <c r="A140" s="319">
        <f>'ESCOLA MUNICIPAL GENERAL HEITOR'!I14</f>
        <v/>
      </c>
      <c r="B140" s="320">
        <f>'ESCOLA MUNICIPAL GENERAL HEITOR'!D14</f>
        <v/>
      </c>
    </row>
    <row r="141" ht="15" customHeight="1" s="163">
      <c r="A141" s="319">
        <f>'ESCOLA MUNICIPAL GENERAL HEITOR'!I15</f>
        <v/>
      </c>
      <c r="B141" s="320">
        <f>'ESCOLA MUNICIPAL GENERAL HEITOR'!D15</f>
        <v/>
      </c>
    </row>
    <row r="142" ht="15" customHeight="1" s="163">
      <c r="A142" s="319">
        <f>'ESCOLA MUNICIPAL GENERAL HEITOR'!I16</f>
        <v/>
      </c>
      <c r="B142" s="320">
        <f>'ESCOLA MUNICIPAL GENERAL HEITOR'!D16</f>
        <v/>
      </c>
    </row>
    <row r="143" ht="15" customHeight="1" s="163">
      <c r="A143" s="319">
        <f>'ESCOLA MUNICIPAL GENERAL HEITOR'!I17</f>
        <v/>
      </c>
      <c r="B143" s="320">
        <f>'ESCOLA MUNICIPAL GENERAL HEITOR'!D17</f>
        <v/>
      </c>
    </row>
    <row r="144" ht="15" customHeight="1" s="163">
      <c r="A144" s="319">
        <f>'ESCOLA MUNICIPAL GENERAL HEITOR'!I18</f>
        <v/>
      </c>
      <c r="B144" s="320">
        <f>'ESCOLA MUNICIPAL GENERAL HEITOR'!D18</f>
        <v/>
      </c>
    </row>
    <row r="145" ht="15" customHeight="1" s="163">
      <c r="A145" s="319">
        <f>'ESCOLA MUNICIPAL GENERAL HEITOR'!I19</f>
        <v/>
      </c>
      <c r="B145" s="320">
        <f>'ESCOLA MUNICIPAL GENERAL HEITOR'!D19</f>
        <v/>
      </c>
    </row>
    <row r="146" ht="15" customHeight="1" s="163">
      <c r="A146" s="319">
        <f>'ESCOLA MUNICIPAL GENERAL HEITOR'!I20</f>
        <v/>
      </c>
      <c r="B146" s="320">
        <f>'ESCOLA MUNICIPAL GENERAL HEITOR'!D20</f>
        <v/>
      </c>
    </row>
    <row r="147" ht="15" customHeight="1" s="163">
      <c r="A147" s="319">
        <f>'ESCOLA MUNICIPAL GENERAL HEITOR'!I21</f>
        <v/>
      </c>
      <c r="B147" s="320">
        <f>'ESCOLA MUNICIPAL GENERAL HEITOR'!D21</f>
        <v/>
      </c>
    </row>
    <row r="148" ht="15" customHeight="1" s="163">
      <c r="A148" s="319">
        <f>'ESCOLA MUNICIPAL GENERAL HEITOR'!I22</f>
        <v/>
      </c>
      <c r="B148" s="320">
        <f>'ESCOLA MUNICIPAL GENERAL HEITOR'!D22</f>
        <v/>
      </c>
    </row>
    <row r="149" ht="15" customHeight="1" s="163">
      <c r="A149" s="319">
        <f>'ESCOLA MUNICIPAL GENERAL HEITOR'!I23</f>
        <v/>
      </c>
      <c r="B149" s="320">
        <f>'ESCOLA MUNICIPAL GENERAL HEITOR'!D23</f>
        <v/>
      </c>
    </row>
    <row r="150" ht="15" customHeight="1" s="163">
      <c r="A150" s="319">
        <f>'ESCOLA MUNICIPAL GENERAL HEITOR'!I24</f>
        <v/>
      </c>
      <c r="B150" s="320">
        <f>'ESCOLA MUNICIPAL GENERAL HEITOR'!D24</f>
        <v/>
      </c>
    </row>
    <row r="151" ht="15" customHeight="1" s="163">
      <c r="A151" s="319">
        <f>'ESCOLA MUNICIPAL GENERAL HEITOR'!I25</f>
        <v/>
      </c>
      <c r="B151" s="320">
        <f>'ESCOLA MUNICIPAL GENERAL HEITOR'!D25</f>
        <v/>
      </c>
    </row>
    <row r="152" ht="15" customHeight="1" s="163">
      <c r="A152" s="319">
        <f>'ESCOLA MUNICIPAL GENERAL HEITOR'!I26</f>
        <v/>
      </c>
      <c r="B152" s="320">
        <f>'ESCOLA MUNICIPAL GENERAL HEITOR'!D26</f>
        <v/>
      </c>
    </row>
    <row r="153" ht="15" customHeight="1" s="163">
      <c r="A153" s="319">
        <f>'ESCOLA MUNICIPAL GENERAL HEITOR'!I27</f>
        <v/>
      </c>
      <c r="B153" s="320">
        <f>'ESCOLA MUNICIPAL GENERAL HEITOR'!D27</f>
        <v/>
      </c>
    </row>
    <row r="154" ht="15" customHeight="1" s="163">
      <c r="A154" s="319">
        <f>'E M JOÃO KOPKE'!I9</f>
        <v/>
      </c>
      <c r="B154" s="320">
        <f>'E M JOÃO KOPKE'!D9</f>
        <v/>
      </c>
    </row>
    <row r="155" ht="15" customHeight="1" s="163">
      <c r="A155" s="319">
        <f>'E M JOÃO KOPKE'!I10</f>
        <v/>
      </c>
      <c r="B155" s="320">
        <f>'E M JOÃO KOPKE'!D10</f>
        <v/>
      </c>
    </row>
    <row r="156" ht="15" customHeight="1" s="163">
      <c r="A156" s="319">
        <f>'E M JOÃO KOPKE'!I11</f>
        <v/>
      </c>
      <c r="B156" s="320">
        <f>'E M JOÃO KOPKE'!D11</f>
        <v/>
      </c>
    </row>
    <row r="157" ht="15" customHeight="1" s="163">
      <c r="A157" s="319">
        <f>'E M JOÃO KOPKE'!I12</f>
        <v/>
      </c>
      <c r="B157" s="320">
        <f>'E M JOÃO KOPKE'!D12</f>
        <v/>
      </c>
    </row>
    <row r="158" ht="15" customHeight="1" s="163">
      <c r="A158" s="319">
        <f>'E M JOÃO KOPKE'!I13</f>
        <v/>
      </c>
      <c r="B158" s="320">
        <f>'E M JOÃO KOPKE'!D13</f>
        <v/>
      </c>
    </row>
    <row r="159" ht="15" customHeight="1" s="163">
      <c r="A159" s="319">
        <f>'E M JOÃO KOPKE'!I14</f>
        <v/>
      </c>
      <c r="B159" s="320">
        <f>'E M JOÃO KOPKE'!D14</f>
        <v/>
      </c>
    </row>
    <row r="160" ht="15" customHeight="1" s="163">
      <c r="A160" s="319">
        <f>'E M JOÃO KOPKE'!I15</f>
        <v/>
      </c>
      <c r="B160" s="320">
        <f>'E M JOÃO KOPKE'!D15</f>
        <v/>
      </c>
    </row>
    <row r="161" ht="15" customHeight="1" s="163">
      <c r="A161" s="319">
        <f>'E M JOÃO KOPKE'!I16</f>
        <v/>
      </c>
      <c r="B161" s="320">
        <f>'E M JOÃO KOPKE'!D16</f>
        <v/>
      </c>
    </row>
    <row r="162" ht="15" customHeight="1" s="163">
      <c r="A162" s="319">
        <f>'E M JOÃO KOPKE'!I17</f>
        <v/>
      </c>
      <c r="B162" s="320">
        <f>'E M JOÃO KOPKE'!D17</f>
        <v/>
      </c>
    </row>
    <row r="163" ht="15" customHeight="1" s="163">
      <c r="A163" s="319">
        <f>'E M JOÃO KOPKE'!I18</f>
        <v/>
      </c>
      <c r="B163" s="320">
        <f>'E M JOÃO KOPKE'!D18</f>
        <v/>
      </c>
    </row>
    <row r="164" ht="15" customHeight="1" s="163">
      <c r="A164" s="319">
        <f>'E M JOÃO KOPKE'!I19</f>
        <v/>
      </c>
      <c r="B164" s="320">
        <f>'E M JOÃO KOPKE'!D19</f>
        <v/>
      </c>
    </row>
    <row r="165" ht="15" customHeight="1" s="163">
      <c r="A165" s="319">
        <f>'E M JOÃO KOPKE'!I20</f>
        <v/>
      </c>
      <c r="B165" s="320">
        <f>'E M JOÃO KOPKE'!D20</f>
        <v/>
      </c>
    </row>
    <row r="166" ht="15" customHeight="1" s="163">
      <c r="A166" s="319">
        <f>'E M JOÃO KOPKE'!I21</f>
        <v/>
      </c>
      <c r="B166" s="320">
        <f>'E M JOÃO KOPKE'!D21</f>
        <v/>
      </c>
    </row>
    <row r="167" ht="15" customHeight="1" s="163">
      <c r="A167" s="319">
        <f>'E M JOÃO KOPKE'!I22</f>
        <v/>
      </c>
      <c r="B167" s="320">
        <f>'E M JOÃO KOPKE'!D22</f>
        <v/>
      </c>
    </row>
    <row r="168" ht="15" customHeight="1" s="163">
      <c r="A168" s="319">
        <f>'E M JOÃO KOPKE'!I23</f>
        <v/>
      </c>
      <c r="B168" s="320">
        <f>'E M JOÃO KOPKE'!D23</f>
        <v/>
      </c>
    </row>
    <row r="169" ht="15" customHeight="1" s="163">
      <c r="A169" s="319">
        <f>'E M JOÃO KOPKE'!I24</f>
        <v/>
      </c>
      <c r="B169" s="320">
        <f>'E M JOÃO KOPKE'!D24</f>
        <v/>
      </c>
    </row>
    <row r="170" ht="15" customHeight="1" s="163">
      <c r="A170" s="319">
        <f>'E M JOÃO KOPKE'!I25</f>
        <v/>
      </c>
      <c r="B170" s="320">
        <f>'E M JOÃO KOPKE'!D25</f>
        <v/>
      </c>
    </row>
    <row r="171" ht="15" customHeight="1" s="163">
      <c r="A171" s="319">
        <f>'E M JOÃO KOPKE'!I26</f>
        <v/>
      </c>
      <c r="B171" s="320">
        <f>'E M JOÃO KOPKE'!D26</f>
        <v/>
      </c>
    </row>
    <row r="172" ht="15" customHeight="1" s="163">
      <c r="A172" s="319">
        <f>'E M JOÃO KOPKE'!I27</f>
        <v/>
      </c>
      <c r="B172" s="320">
        <f>'E M JOÃO KOPKE'!D27</f>
        <v/>
      </c>
    </row>
    <row r="173" ht="15" customHeight="1" s="163">
      <c r="A173" s="319">
        <f>'ESCOLA MUNICIPAL ODETTE FONSECA'!I9</f>
        <v/>
      </c>
      <c r="B173" s="320">
        <f>'ESCOLA MUNICIPAL ODETTE FONSECA'!D9</f>
        <v/>
      </c>
    </row>
    <row r="174" ht="15" customHeight="1" s="163">
      <c r="A174" s="319">
        <f>'ESCOLA MUNICIPAL ODETTE FONSECA'!I10</f>
        <v/>
      </c>
      <c r="B174" s="320">
        <f>'ESCOLA MUNICIPAL ODETTE FONSECA'!D10</f>
        <v/>
      </c>
    </row>
    <row r="175" ht="15" customHeight="1" s="163">
      <c r="A175" s="319">
        <f>'ESCOLA MUNICIPAL ODETTE FONSECA'!I11</f>
        <v/>
      </c>
      <c r="B175" s="320">
        <f>'ESCOLA MUNICIPAL ODETTE FONSECA'!D11</f>
        <v/>
      </c>
    </row>
    <row r="176" ht="15" customHeight="1" s="163">
      <c r="A176" s="319">
        <f>'ESCOLA MUNICIPAL ODETTE FONSECA'!I12</f>
        <v/>
      </c>
      <c r="B176" s="320">
        <f>'ESCOLA MUNICIPAL ODETTE FONSECA'!D12</f>
        <v/>
      </c>
    </row>
    <row r="177" ht="15" customHeight="1" s="163">
      <c r="A177" s="319">
        <f>'ESCOLA MUNICIPAL ODETTE FONSECA'!I13</f>
        <v/>
      </c>
      <c r="B177" s="320">
        <f>'ESCOLA MUNICIPAL ODETTE FONSECA'!D13</f>
        <v/>
      </c>
    </row>
    <row r="178" ht="15" customHeight="1" s="163">
      <c r="A178" s="319">
        <f>'ESCOLA MUNICIPAL ODETTE FONSECA'!I14</f>
        <v/>
      </c>
      <c r="B178" s="320">
        <f>'ESCOLA MUNICIPAL ODETTE FONSECA'!D14</f>
        <v/>
      </c>
    </row>
    <row r="179" ht="15" customHeight="1" s="163">
      <c r="A179" s="319">
        <f>'ESCOLA MUNICIPAL ODETTE FONSECA'!I15</f>
        <v/>
      </c>
      <c r="B179" s="320">
        <f>'ESCOLA MUNICIPAL ODETTE FONSECA'!D15</f>
        <v/>
      </c>
    </row>
    <row r="180" ht="15" customHeight="1" s="163">
      <c r="A180" s="319">
        <f>'ESCOLA MUNICIPAL ODETTE FONSECA'!I16</f>
        <v/>
      </c>
      <c r="B180" s="320">
        <f>'ESCOLA MUNICIPAL ODETTE FONSECA'!D16</f>
        <v/>
      </c>
    </row>
    <row r="181" ht="15" customHeight="1" s="163">
      <c r="A181" s="319">
        <f>'ESCOLA MUNICIPAL ODETTE FONSECA'!I17</f>
        <v/>
      </c>
      <c r="B181" s="320">
        <f>'ESCOLA MUNICIPAL ODETTE FONSECA'!D17</f>
        <v/>
      </c>
    </row>
    <row r="182" ht="15" customHeight="1" s="163">
      <c r="A182" s="319">
        <f>'ESCOLA MUNICIPAL ODETTE FONSECA'!I18</f>
        <v/>
      </c>
      <c r="B182" s="320">
        <f>'ESCOLA MUNICIPAL ODETTE FONSECA'!D18</f>
        <v/>
      </c>
    </row>
    <row r="183" ht="15" customHeight="1" s="163">
      <c r="A183" s="319">
        <f>'ESCOLA MUNICIPAL ODETTE FONSECA'!I19</f>
        <v/>
      </c>
      <c r="B183" s="320">
        <f>'ESCOLA MUNICIPAL ODETTE FONSECA'!D19</f>
        <v/>
      </c>
    </row>
    <row r="184" ht="15" customHeight="1" s="163">
      <c r="A184" s="319">
        <f>'ESCOLA MUNICIPAL ODETTE FONSECA'!I20</f>
        <v/>
      </c>
      <c r="B184" s="320">
        <f>'ESCOLA MUNICIPAL ODETTE FONSECA'!D20</f>
        <v/>
      </c>
    </row>
    <row r="185" ht="15" customHeight="1" s="163">
      <c r="A185" s="319">
        <f>'ESCOLA MUNICIPAL ODETTE FONSECA'!I21</f>
        <v/>
      </c>
      <c r="B185" s="320">
        <f>'ESCOLA MUNICIPAL ODETTE FONSECA'!D21</f>
        <v/>
      </c>
    </row>
    <row r="186" ht="15" customHeight="1" s="163">
      <c r="A186" s="319">
        <f>'ESCOLA MUNICIPAL ODETTE FONSECA'!I22</f>
        <v/>
      </c>
      <c r="B186" s="320">
        <f>'ESCOLA MUNICIPAL ODETTE FONSECA'!D22</f>
        <v/>
      </c>
    </row>
    <row r="187" ht="15" customHeight="1" s="163">
      <c r="A187" s="319">
        <f>'ESCOLA MUNICIPAL ODETTE FONSECA'!I23</f>
        <v/>
      </c>
      <c r="B187" s="320">
        <f>'ESCOLA MUNICIPAL ODETTE FONSECA'!D23</f>
        <v/>
      </c>
    </row>
    <row r="188" ht="15" customHeight="1" s="163">
      <c r="A188" s="319">
        <f>'ESCOLA MUNICIPAL ODETTE FONSECA'!I24</f>
        <v/>
      </c>
      <c r="B188" s="320">
        <f>'ESCOLA MUNICIPAL ODETTE FONSECA'!D24</f>
        <v/>
      </c>
    </row>
    <row r="189" ht="15" customHeight="1" s="163">
      <c r="A189" s="319">
        <f>'ESCOLA MUNICIPAL ODETTE FONSECA'!I25</f>
        <v/>
      </c>
      <c r="B189" s="320">
        <f>'ESCOLA MUNICIPAL ODETTE FONSECA'!D25</f>
        <v/>
      </c>
    </row>
    <row r="190" ht="15" customHeight="1" s="163">
      <c r="A190" s="319">
        <f>'ESCOLA MUNICIPAL ODETTE FONSECA'!I26</f>
        <v/>
      </c>
      <c r="B190" s="320">
        <f>'ESCOLA MUNICIPAL ODETTE FONSECA'!D26</f>
        <v/>
      </c>
    </row>
    <row r="191" ht="15" customHeight="1" s="163">
      <c r="A191" s="319">
        <f>'ESCOLA MUNICIPAL ODETTE FONSECA'!I27</f>
        <v/>
      </c>
      <c r="B191" s="320">
        <f>'ESCOLA MUNICIPAL ODETTE FONSECA'!D27</f>
        <v/>
      </c>
    </row>
    <row r="192" ht="15" customHeight="1" s="163">
      <c r="A192" s="319">
        <f>'E M GOVERNADOR MARCELLO ALENCAR'!I9</f>
        <v/>
      </c>
      <c r="B192" s="320">
        <f>'E M GOVERNADOR MARCELLO ALENCAR'!D9</f>
        <v/>
      </c>
    </row>
    <row r="193" ht="15" customHeight="1" s="163">
      <c r="A193" s="319">
        <f>'E M GOVERNADOR MARCELLO ALENCAR'!I10</f>
        <v/>
      </c>
      <c r="B193" s="320">
        <f>'E M GOVERNADOR MARCELLO ALENCAR'!D10</f>
        <v/>
      </c>
    </row>
    <row r="194" ht="15" customHeight="1" s="163">
      <c r="A194" s="319">
        <f>'E M GOVERNADOR MARCELLO ALENCAR'!I11</f>
        <v/>
      </c>
      <c r="B194" s="320">
        <f>'E M GOVERNADOR MARCELLO ALENCAR'!D11</f>
        <v/>
      </c>
    </row>
    <row r="195" ht="15" customHeight="1" s="163">
      <c r="A195" s="319">
        <f>'E M GOVERNADOR MARCELLO ALENCAR'!I12</f>
        <v/>
      </c>
      <c r="B195" s="320">
        <f>'E M GOVERNADOR MARCELLO ALENCAR'!D12</f>
        <v/>
      </c>
    </row>
    <row r="196" ht="15" customHeight="1" s="163">
      <c r="A196" s="319">
        <f>'E M GOVERNADOR MARCELLO ALENCAR'!I13</f>
        <v/>
      </c>
      <c r="B196" s="320">
        <f>'E M GOVERNADOR MARCELLO ALENCAR'!D13</f>
        <v/>
      </c>
    </row>
    <row r="197" ht="15" customHeight="1" s="163">
      <c r="A197" s="319">
        <f>'E M GOVERNADOR MARCELLO ALENCAR'!I14</f>
        <v/>
      </c>
      <c r="B197" s="320">
        <f>'E M GOVERNADOR MARCELLO ALENCAR'!D14</f>
        <v/>
      </c>
    </row>
    <row r="198" ht="15" customHeight="1" s="163">
      <c r="A198" s="319">
        <f>'E M GOVERNADOR MARCELLO ALENCAR'!I15</f>
        <v/>
      </c>
      <c r="B198" s="320">
        <f>'E M GOVERNADOR MARCELLO ALENCAR'!D15</f>
        <v/>
      </c>
    </row>
    <row r="199" ht="15" customHeight="1" s="163">
      <c r="A199" s="319">
        <f>'E M GOVERNADOR MARCELLO ALENCAR'!I16</f>
        <v/>
      </c>
      <c r="B199" s="320">
        <f>'E M GOVERNADOR MARCELLO ALENCAR'!D16</f>
        <v/>
      </c>
    </row>
    <row r="200" ht="15" customHeight="1" s="163">
      <c r="A200" s="319">
        <f>'E M GOVERNADOR MARCELLO ALENCAR'!I17</f>
        <v/>
      </c>
      <c r="B200" s="320">
        <f>'E M GOVERNADOR MARCELLO ALENCAR'!D17</f>
        <v/>
      </c>
    </row>
    <row r="201" ht="15" customHeight="1" s="163">
      <c r="A201" s="319">
        <f>'E M GOVERNADOR MARCELLO ALENCAR'!I18</f>
        <v/>
      </c>
      <c r="B201" s="320">
        <f>'E M GOVERNADOR MARCELLO ALENCAR'!D18</f>
        <v/>
      </c>
    </row>
    <row r="202" ht="15" customHeight="1" s="163">
      <c r="A202" s="319">
        <f>'E M GOVERNADOR MARCELLO ALENCAR'!I19</f>
        <v/>
      </c>
      <c r="B202" s="320">
        <f>'E M GOVERNADOR MARCELLO ALENCAR'!D19</f>
        <v/>
      </c>
    </row>
    <row r="203" ht="15" customHeight="1" s="163">
      <c r="A203" s="319">
        <f>'E M GOVERNADOR MARCELLO ALENCAR'!I20</f>
        <v/>
      </c>
      <c r="B203" s="320">
        <f>'E M GOVERNADOR MARCELLO ALENCAR'!D20</f>
        <v/>
      </c>
    </row>
    <row r="204" ht="15" customHeight="1" s="163">
      <c r="A204" s="319">
        <f>'E M GOVERNADOR MARCELLO ALENCAR'!I21</f>
        <v/>
      </c>
      <c r="B204" s="320">
        <f>'E M GOVERNADOR MARCELLO ALENCAR'!D21</f>
        <v/>
      </c>
    </row>
    <row r="205" ht="15" customHeight="1" s="163">
      <c r="A205" s="319">
        <f>'E M GOVERNADOR MARCELLO ALENCAR'!I22</f>
        <v/>
      </c>
      <c r="B205" s="320">
        <f>'E M GOVERNADOR MARCELLO ALENCAR'!D22</f>
        <v/>
      </c>
    </row>
    <row r="206" ht="15" customHeight="1" s="163">
      <c r="A206" s="319">
        <f>'E M GOVERNADOR MARCELLO ALENCAR'!I23</f>
        <v/>
      </c>
      <c r="B206" s="320">
        <f>'E M GOVERNADOR MARCELLO ALENCAR'!D23</f>
        <v/>
      </c>
    </row>
    <row r="207" ht="15" customHeight="1" s="163">
      <c r="A207" s="319">
        <f>'E M GOVERNADOR MARCELLO ALENCAR'!I24</f>
        <v/>
      </c>
      <c r="B207" s="320">
        <f>'E M GOVERNADOR MARCELLO ALENCAR'!D24</f>
        <v/>
      </c>
    </row>
    <row r="208" ht="15" customHeight="1" s="163">
      <c r="A208" s="319">
        <f>'E M GOVERNADOR MARCELLO ALENCAR'!I25</f>
        <v/>
      </c>
      <c r="B208" s="320">
        <f>'E M GOVERNADOR MARCELLO ALENCAR'!D25</f>
        <v/>
      </c>
    </row>
    <row r="209" ht="15" customHeight="1" s="163">
      <c r="A209" s="319">
        <f>'E M GOVERNADOR MARCELLO ALENCAR'!I26</f>
        <v/>
      </c>
      <c r="B209" s="320">
        <f>'E M GOVERNADOR MARCELLO ALENCAR'!D26</f>
        <v/>
      </c>
    </row>
    <row r="210" ht="15" customHeight="1" s="163">
      <c r="A210" s="319">
        <f>'E M GOVERNADOR MARCELLO ALENCAR'!I27</f>
        <v/>
      </c>
      <c r="B210" s="320">
        <f>'E M GOVERNADOR MARCELLO ALENCAR'!D27</f>
        <v/>
      </c>
    </row>
    <row r="211" ht="15" customHeight="1" s="163">
      <c r="A211" s="319">
        <f>'E M PROF JOAQUIM DEISTER'!I9</f>
        <v/>
      </c>
      <c r="B211" s="320">
        <f>'E M PROF JOAQUIM DEISTER'!D9</f>
        <v/>
      </c>
    </row>
    <row r="212" ht="15" customHeight="1" s="163">
      <c r="A212" s="319">
        <f>'E M PROF JOAQUIM DEISTER'!I10</f>
        <v/>
      </c>
      <c r="B212" s="320">
        <f>'E M PROF JOAQUIM DEISTER'!D10</f>
        <v/>
      </c>
    </row>
    <row r="213" ht="15" customHeight="1" s="163">
      <c r="A213" s="319">
        <f>'E M PROF JOAQUIM DEISTER'!I11</f>
        <v/>
      </c>
      <c r="B213" s="320">
        <f>'E M PROF JOAQUIM DEISTER'!D11</f>
        <v/>
      </c>
    </row>
    <row r="214" ht="15" customHeight="1" s="163">
      <c r="A214" s="319">
        <f>'E M PROF JOAQUIM DEISTER'!I12</f>
        <v/>
      </c>
      <c r="B214" s="320">
        <f>'E M PROF JOAQUIM DEISTER'!D12</f>
        <v/>
      </c>
    </row>
    <row r="215" ht="15" customHeight="1" s="163">
      <c r="A215" s="319">
        <f>'E M PROF JOAQUIM DEISTER'!I13</f>
        <v/>
      </c>
      <c r="B215" s="320">
        <f>'E M PROF JOAQUIM DEISTER'!D13</f>
        <v/>
      </c>
    </row>
    <row r="216" ht="15" customHeight="1" s="163">
      <c r="A216" s="319">
        <f>'E M PROF JOAQUIM DEISTER'!I14</f>
        <v/>
      </c>
      <c r="B216" s="320">
        <f>'E M PROF JOAQUIM DEISTER'!D14</f>
        <v/>
      </c>
    </row>
    <row r="217" ht="15" customHeight="1" s="163">
      <c r="A217" s="319">
        <f>'E M PROF JOAQUIM DEISTER'!I15</f>
        <v/>
      </c>
      <c r="B217" s="320">
        <f>'E M PROF JOAQUIM DEISTER'!D15</f>
        <v/>
      </c>
    </row>
    <row r="218" ht="15" customHeight="1" s="163">
      <c r="A218" s="319">
        <f>'E M PROF JOAQUIM DEISTER'!I16</f>
        <v/>
      </c>
      <c r="B218" s="320">
        <f>'E M PROF JOAQUIM DEISTER'!D16</f>
        <v/>
      </c>
    </row>
    <row r="219" ht="15" customHeight="1" s="163">
      <c r="A219" s="319">
        <f>'E M PROF JOAQUIM DEISTER'!I17</f>
        <v/>
      </c>
      <c r="B219" s="320">
        <f>'E M PROF JOAQUIM DEISTER'!D17</f>
        <v/>
      </c>
    </row>
    <row r="220" ht="15" customHeight="1" s="163">
      <c r="A220" s="319">
        <f>'E M PROF JOAQUIM DEISTER'!I18</f>
        <v/>
      </c>
      <c r="B220" s="320">
        <f>'E M PROF JOAQUIM DEISTER'!D18</f>
        <v/>
      </c>
    </row>
    <row r="221" ht="15" customHeight="1" s="163">
      <c r="A221" s="319">
        <f>'E M PROF JOAQUIM DEISTER'!I19</f>
        <v/>
      </c>
      <c r="B221" s="320">
        <f>'E M PROF JOAQUIM DEISTER'!D19</f>
        <v/>
      </c>
    </row>
    <row r="222" ht="15" customHeight="1" s="163">
      <c r="A222" s="319">
        <f>'E M PROF JOAQUIM DEISTER'!I20</f>
        <v/>
      </c>
      <c r="B222" s="320">
        <f>'E M PROF JOAQUIM DEISTER'!D20</f>
        <v/>
      </c>
    </row>
    <row r="223" ht="15" customHeight="1" s="163">
      <c r="A223" s="319">
        <f>'E M PROF JOAQUIM DEISTER'!I21</f>
        <v/>
      </c>
      <c r="B223" s="320">
        <f>'E M PROF JOAQUIM DEISTER'!D21</f>
        <v/>
      </c>
    </row>
    <row r="224" ht="15" customHeight="1" s="163">
      <c r="A224" s="319">
        <f>'E M PROF JOAQUIM DEISTER'!I22</f>
        <v/>
      </c>
      <c r="B224" s="320">
        <f>'E M PROF JOAQUIM DEISTER'!D22</f>
        <v/>
      </c>
    </row>
    <row r="225" ht="15" customHeight="1" s="163">
      <c r="A225" s="319">
        <f>'E M PROF JOAQUIM DEISTER'!I23</f>
        <v/>
      </c>
      <c r="B225" s="320">
        <f>'E M PROF JOAQUIM DEISTER'!D23</f>
        <v/>
      </c>
    </row>
    <row r="226" ht="15" customHeight="1" s="163">
      <c r="A226" s="319">
        <f>'E M PROF JOAQUIM DEISTER'!I24</f>
        <v/>
      </c>
      <c r="B226" s="320">
        <f>'E M PROF JOAQUIM DEISTER'!D24</f>
        <v/>
      </c>
    </row>
    <row r="227" ht="15" customHeight="1" s="163">
      <c r="A227" s="319">
        <f>'E M PROF JOAQUIM DEISTER'!I25</f>
        <v/>
      </c>
      <c r="B227" s="320">
        <f>'E M PROF JOAQUIM DEISTER'!D25</f>
        <v/>
      </c>
    </row>
    <row r="228" ht="15" customHeight="1" s="163">
      <c r="A228" s="319">
        <f>'E M PROF JOAQUIM DEISTER'!I26</f>
        <v/>
      </c>
      <c r="B228" s="320">
        <f>'E M PROF JOAQUIM DEISTER'!D26</f>
        <v/>
      </c>
    </row>
    <row r="229" ht="15" customHeight="1" s="163">
      <c r="A229" s="319">
        <f>'E M PROF JOAQUIM DEISTER'!I27</f>
        <v/>
      </c>
      <c r="B229" s="320">
        <f>'E M PROF JOAQUIM DEISTER'!D27</f>
        <v/>
      </c>
    </row>
    <row r="230" ht="15" customHeight="1" s="163">
      <c r="A230" s="319">
        <f>'E M ROBERT KENNEDY'!I9</f>
        <v/>
      </c>
      <c r="B230" s="320">
        <f>'E M ROBERT KENNEDY'!D9</f>
        <v/>
      </c>
    </row>
    <row r="231" ht="15" customHeight="1" s="163">
      <c r="A231" s="319">
        <f>'E M ROBERT KENNEDY'!I10</f>
        <v/>
      </c>
      <c r="B231" s="320">
        <f>'E M ROBERT KENNEDY'!D10</f>
        <v/>
      </c>
    </row>
    <row r="232" ht="15" customHeight="1" s="163">
      <c r="A232" s="319">
        <f>'E M ROBERT KENNEDY'!I11</f>
        <v/>
      </c>
      <c r="B232" s="320">
        <f>'E M ROBERT KENNEDY'!D11</f>
        <v/>
      </c>
    </row>
    <row r="233" ht="15" customHeight="1" s="163">
      <c r="A233" s="319">
        <f>'E M ROBERT KENNEDY'!I12</f>
        <v/>
      </c>
      <c r="B233" s="320">
        <f>'E M ROBERT KENNEDY'!D12</f>
        <v/>
      </c>
    </row>
    <row r="234" ht="15" customHeight="1" s="163">
      <c r="A234" s="319">
        <f>'E M ROBERT KENNEDY'!I13</f>
        <v/>
      </c>
      <c r="B234" s="320">
        <f>'E M ROBERT KENNEDY'!D13</f>
        <v/>
      </c>
    </row>
    <row r="235" ht="15" customHeight="1" s="163">
      <c r="A235" s="319">
        <f>'E M ROBERT KENNEDY'!I14</f>
        <v/>
      </c>
      <c r="B235" s="320">
        <f>'E M ROBERT KENNEDY'!D14</f>
        <v/>
      </c>
    </row>
    <row r="236" ht="15" customHeight="1" s="163">
      <c r="A236" s="319">
        <f>'E M ROBERT KENNEDY'!I15</f>
        <v/>
      </c>
      <c r="B236" s="320">
        <f>'E M ROBERT KENNEDY'!D15</f>
        <v/>
      </c>
    </row>
    <row r="237" ht="15" customHeight="1" s="163">
      <c r="A237" s="319">
        <f>'E M ROBERT KENNEDY'!I16</f>
        <v/>
      </c>
      <c r="B237" s="320">
        <f>'E M ROBERT KENNEDY'!D16</f>
        <v/>
      </c>
    </row>
    <row r="238" ht="15" customHeight="1" s="163">
      <c r="A238" s="319">
        <f>'E M ROBERT KENNEDY'!I17</f>
        <v/>
      </c>
      <c r="B238" s="320">
        <f>'E M ROBERT KENNEDY'!D17</f>
        <v/>
      </c>
    </row>
    <row r="239" ht="15" customHeight="1" s="163">
      <c r="A239" s="319">
        <f>'E M ROBERT KENNEDY'!I18</f>
        <v/>
      </c>
      <c r="B239" s="320">
        <f>'E M ROBERT KENNEDY'!D18</f>
        <v/>
      </c>
    </row>
    <row r="240" ht="15" customHeight="1" s="163">
      <c r="A240" s="319">
        <f>'E M ROBERT KENNEDY'!I19</f>
        <v/>
      </c>
      <c r="B240" s="320">
        <f>'E M ROBERT KENNEDY'!D19</f>
        <v/>
      </c>
    </row>
    <row r="241" ht="15" customHeight="1" s="163">
      <c r="A241" s="319">
        <f>'E M ROBERT KENNEDY'!I20</f>
        <v/>
      </c>
      <c r="B241" s="320">
        <f>'E M ROBERT KENNEDY'!D20</f>
        <v/>
      </c>
    </row>
    <row r="242" ht="15" customHeight="1" s="163">
      <c r="A242" s="319">
        <f>'E M ROBERT KENNEDY'!I21</f>
        <v/>
      </c>
      <c r="B242" s="320">
        <f>'E M ROBERT KENNEDY'!D21</f>
        <v/>
      </c>
    </row>
    <row r="243" ht="15" customHeight="1" s="163">
      <c r="A243" s="319">
        <f>'E M ROBERT KENNEDY'!I22</f>
        <v/>
      </c>
      <c r="B243" s="320">
        <f>'E M ROBERT KENNEDY'!D22</f>
        <v/>
      </c>
    </row>
    <row r="244" ht="15" customHeight="1" s="163">
      <c r="A244" s="319">
        <f>'E M ROBERT KENNEDY'!I23</f>
        <v/>
      </c>
      <c r="B244" s="320">
        <f>'E M ROBERT KENNEDY'!D23</f>
        <v/>
      </c>
    </row>
    <row r="245" ht="15" customHeight="1" s="163">
      <c r="A245" s="319">
        <f>'E M ROBERT KENNEDY'!I24</f>
        <v/>
      </c>
      <c r="B245" s="320">
        <f>'E M ROBERT KENNEDY'!D24</f>
        <v/>
      </c>
    </row>
    <row r="246" ht="15" customHeight="1" s="163">
      <c r="A246" s="319">
        <f>'E M ROBERT KENNEDY'!I25</f>
        <v/>
      </c>
      <c r="B246" s="320">
        <f>'E M ROBERT KENNEDY'!D25</f>
        <v/>
      </c>
    </row>
    <row r="247" ht="15" customHeight="1" s="163">
      <c r="A247" s="319">
        <f>'E M ROBERT KENNEDY'!I26</f>
        <v/>
      </c>
      <c r="B247" s="320">
        <f>'E M ROBERT KENNEDY'!D26</f>
        <v/>
      </c>
    </row>
    <row r="248" ht="15" customHeight="1" s="163">
      <c r="A248" s="319">
        <f>'E M ROBERT KENNEDY'!I27</f>
        <v/>
      </c>
      <c r="B248" s="320">
        <f>'E M ROBERT KENNEDY'!D27</f>
        <v/>
      </c>
    </row>
    <row r="249" ht="15" customHeight="1" s="163">
      <c r="A249" s="319">
        <f>'E M ROTARY'!I9</f>
        <v/>
      </c>
      <c r="B249" s="320">
        <f>'E M ROTARY'!D9</f>
        <v/>
      </c>
    </row>
    <row r="250" ht="15" customHeight="1" s="163">
      <c r="A250" s="319">
        <f>'E M ROTARY'!I10</f>
        <v/>
      </c>
      <c r="B250" s="320">
        <f>'E M ROTARY'!D10</f>
        <v/>
      </c>
    </row>
    <row r="251" ht="15" customHeight="1" s="163">
      <c r="A251" s="319">
        <f>'E M ROTARY'!I11</f>
        <v/>
      </c>
      <c r="B251" s="320">
        <f>'E M ROTARY'!D11</f>
        <v/>
      </c>
    </row>
    <row r="252" ht="15" customHeight="1" s="163">
      <c r="A252" s="319">
        <f>'E M ROTARY'!I12</f>
        <v/>
      </c>
      <c r="B252" s="320">
        <f>'E M ROTARY'!D12</f>
        <v/>
      </c>
    </row>
    <row r="253" ht="15" customHeight="1" s="163">
      <c r="A253" s="319">
        <f>'E M ROTARY'!I13</f>
        <v/>
      </c>
      <c r="B253" s="320">
        <f>'E M ROTARY'!D13</f>
        <v/>
      </c>
    </row>
    <row r="254" ht="15" customHeight="1" s="163">
      <c r="A254" s="319">
        <f>'E M ROTARY'!I14</f>
        <v/>
      </c>
      <c r="B254" s="320">
        <f>'E M ROTARY'!D14</f>
        <v/>
      </c>
    </row>
    <row r="255" ht="15" customHeight="1" s="163">
      <c r="A255" s="319">
        <f>'E M ROTARY'!I15</f>
        <v/>
      </c>
      <c r="B255" s="320">
        <f>'E M ROTARY'!D15</f>
        <v/>
      </c>
    </row>
    <row r="256" ht="15" customHeight="1" s="163">
      <c r="A256" s="319">
        <f>'E M ROTARY'!I16</f>
        <v/>
      </c>
      <c r="B256" s="320">
        <f>'E M ROTARY'!D16</f>
        <v/>
      </c>
    </row>
    <row r="257" ht="15" customHeight="1" s="163">
      <c r="A257" s="319">
        <f>'E M ROTARY'!I17</f>
        <v/>
      </c>
      <c r="B257" s="320">
        <f>'E M ROTARY'!D17</f>
        <v/>
      </c>
    </row>
    <row r="258" ht="15" customHeight="1" s="163">
      <c r="A258" s="319">
        <f>'E M ROTARY'!I18</f>
        <v/>
      </c>
      <c r="B258" s="320">
        <f>'E M ROTARY'!D18</f>
        <v/>
      </c>
    </row>
    <row r="259" ht="15" customHeight="1" s="163">
      <c r="A259" s="319">
        <f>'E M ROTARY'!I19</f>
        <v/>
      </c>
      <c r="B259" s="320">
        <f>'E M ROTARY'!D19</f>
        <v/>
      </c>
    </row>
    <row r="260" ht="15" customHeight="1" s="163">
      <c r="A260" s="319">
        <f>'E M ROTARY'!I20</f>
        <v/>
      </c>
      <c r="B260" s="320">
        <f>'E M ROTARY'!D20</f>
        <v/>
      </c>
    </row>
    <row r="261" ht="15" customHeight="1" s="163">
      <c r="A261" s="319">
        <f>'E M ROTARY'!I21</f>
        <v/>
      </c>
      <c r="B261" s="320">
        <f>'E M ROTARY'!D21</f>
        <v/>
      </c>
    </row>
    <row r="262" ht="15" customHeight="1" s="163">
      <c r="A262" s="319">
        <f>'E M ROTARY'!I22</f>
        <v/>
      </c>
      <c r="B262" s="320">
        <f>'E M ROTARY'!D22</f>
        <v/>
      </c>
    </row>
    <row r="263" ht="15" customHeight="1" s="163">
      <c r="A263" s="319">
        <f>'E M ROTARY'!I23</f>
        <v/>
      </c>
      <c r="B263" s="320">
        <f>'E M ROTARY'!D23</f>
        <v/>
      </c>
    </row>
    <row r="264" ht="15" customHeight="1" s="163">
      <c r="A264" s="319">
        <f>'E M ROTARY'!I24</f>
        <v/>
      </c>
      <c r="B264" s="320">
        <f>'E M ROTARY'!D24</f>
        <v/>
      </c>
    </row>
    <row r="265" ht="15" customHeight="1" s="163">
      <c r="A265" s="319">
        <f>'E M ROTARY'!I25</f>
        <v/>
      </c>
      <c r="B265" s="320">
        <f>'E M ROTARY'!D25</f>
        <v/>
      </c>
    </row>
    <row r="266" ht="15" customHeight="1" s="163">
      <c r="A266" s="319">
        <f>'E M ROTARY'!I26</f>
        <v/>
      </c>
      <c r="B266" s="320">
        <f>'E M ROTARY'!D26</f>
        <v/>
      </c>
    </row>
    <row r="267" ht="15" customHeight="1" s="163">
      <c r="A267" s="319">
        <f>'E M ROTARY'!I27</f>
        <v/>
      </c>
      <c r="B267" s="320">
        <f>'E M ROTARY'!D27</f>
        <v/>
      </c>
    </row>
    <row r="268" ht="15" customHeight="1" s="163">
      <c r="A268" s="319">
        <f>'E M ROSALINA NICOLAY'!I9</f>
        <v/>
      </c>
      <c r="B268" s="320">
        <f>'E M ROSALINA NICOLAY'!D9</f>
        <v/>
      </c>
    </row>
    <row r="269" ht="15" customHeight="1" s="163">
      <c r="A269" s="319">
        <f>'E M ROSALINA NICOLAY'!I10</f>
        <v/>
      </c>
      <c r="B269" s="320">
        <f>'E M ROSALINA NICOLAY'!D10</f>
        <v/>
      </c>
    </row>
    <row r="270" ht="15" customHeight="1" s="163">
      <c r="A270" s="319">
        <f>'E M ROSALINA NICOLAY'!I11</f>
        <v/>
      </c>
      <c r="B270" s="320">
        <f>'E M ROSALINA NICOLAY'!D11</f>
        <v/>
      </c>
    </row>
    <row r="271" ht="15" customHeight="1" s="163">
      <c r="A271" s="319">
        <f>'E M ROSALINA NICOLAY'!I12</f>
        <v/>
      </c>
      <c r="B271" s="320">
        <f>'E M ROSALINA NICOLAY'!D12</f>
        <v/>
      </c>
    </row>
    <row r="272" ht="15" customHeight="1" s="163">
      <c r="A272" s="319">
        <f>'E M ROSALINA NICOLAY'!I13</f>
        <v/>
      </c>
      <c r="B272" s="320">
        <f>'E M ROSALINA NICOLAY'!D13</f>
        <v/>
      </c>
    </row>
    <row r="273" ht="15" customHeight="1" s="163">
      <c r="A273" s="319">
        <f>'E M ROSALINA NICOLAY'!I14</f>
        <v/>
      </c>
      <c r="B273" s="320">
        <f>'E M ROSALINA NICOLAY'!D14</f>
        <v/>
      </c>
    </row>
    <row r="274" ht="15" customHeight="1" s="163">
      <c r="A274" s="319">
        <f>'E M ROSALINA NICOLAY'!I15</f>
        <v/>
      </c>
      <c r="B274" s="320">
        <f>'E M ROSALINA NICOLAY'!D15</f>
        <v/>
      </c>
    </row>
    <row r="275" ht="15" customHeight="1" s="163">
      <c r="A275" s="319">
        <f>'E M ROSALINA NICOLAY'!I16</f>
        <v/>
      </c>
      <c r="B275" s="320">
        <f>'E M ROSALINA NICOLAY'!D16</f>
        <v/>
      </c>
    </row>
    <row r="276" ht="15" customHeight="1" s="163">
      <c r="A276" s="319">
        <f>'E M ROSALINA NICOLAY'!I17</f>
        <v/>
      </c>
      <c r="B276" s="320">
        <f>'E M ROSALINA NICOLAY'!D17</f>
        <v/>
      </c>
    </row>
    <row r="277" ht="15" customHeight="1" s="163">
      <c r="A277" s="319">
        <f>'E M ROSALINA NICOLAY'!I18</f>
        <v/>
      </c>
      <c r="B277" s="320">
        <f>'E M ROSALINA NICOLAY'!D18</f>
        <v/>
      </c>
    </row>
    <row r="278" ht="15" customHeight="1" s="163">
      <c r="A278" s="319">
        <f>'E M ROSALINA NICOLAY'!I19</f>
        <v/>
      </c>
      <c r="B278" s="320">
        <f>'E M ROSALINA NICOLAY'!D19</f>
        <v/>
      </c>
    </row>
    <row r="279" ht="15" customHeight="1" s="163">
      <c r="A279" s="319">
        <f>'E M ROSALINA NICOLAY'!I20</f>
        <v/>
      </c>
      <c r="B279" s="320">
        <f>'E M ROSALINA NICOLAY'!D20</f>
        <v/>
      </c>
    </row>
    <row r="280" ht="15" customHeight="1" s="163">
      <c r="A280" s="319">
        <f>'E M ROSALINA NICOLAY'!I21</f>
        <v/>
      </c>
      <c r="B280" s="320">
        <f>'E M ROSALINA NICOLAY'!D21</f>
        <v/>
      </c>
    </row>
    <row r="281" ht="15" customHeight="1" s="163">
      <c r="A281" s="319">
        <f>'E M ROSALINA NICOLAY'!I22</f>
        <v/>
      </c>
      <c r="B281" s="320">
        <f>'E M ROSALINA NICOLAY'!D22</f>
        <v/>
      </c>
    </row>
    <row r="282" ht="15" customHeight="1" s="163">
      <c r="A282" s="319">
        <f>'E M ROSALINA NICOLAY'!I23</f>
        <v/>
      </c>
      <c r="B282" s="320">
        <f>'E M ROSALINA NICOLAY'!D23</f>
        <v/>
      </c>
    </row>
    <row r="283" ht="15" customHeight="1" s="163">
      <c r="A283" s="319">
        <f>'E M ROSALINA NICOLAY'!I24</f>
        <v/>
      </c>
      <c r="B283" s="320">
        <f>'E M ROSALINA NICOLAY'!D24</f>
        <v/>
      </c>
    </row>
    <row r="284" ht="15" customHeight="1" s="163">
      <c r="A284" s="319">
        <f>'E M ROSALINA NICOLAY'!I25</f>
        <v/>
      </c>
      <c r="B284" s="320">
        <f>'E M ROSALINA NICOLAY'!D25</f>
        <v/>
      </c>
    </row>
    <row r="285" ht="15" customHeight="1" s="163">
      <c r="A285" s="319">
        <f>'E M ROSALINA NICOLAY'!I26</f>
        <v/>
      </c>
      <c r="B285" s="320">
        <f>'E M ROSALINA NICOLAY'!D26</f>
        <v/>
      </c>
    </row>
    <row r="286" ht="15" customHeight="1" s="163">
      <c r="A286" s="319">
        <f>'E M ROSALINA NICOLAY'!I27</f>
        <v/>
      </c>
      <c r="B286" s="320">
        <f>'E M ROSALINA NICOLAY'!D27</f>
        <v/>
      </c>
    </row>
    <row r="287" ht="15" customHeight="1" s="163">
      <c r="A287" s="319">
        <f>'E M DE EDUCAÇÃO ESPECIAL SANTOS'!I9</f>
        <v/>
      </c>
      <c r="B287" s="320">
        <f>'E M DE EDUCAÇÃO ESPECIAL SANTOS'!D9</f>
        <v/>
      </c>
    </row>
    <row r="288" ht="15" customHeight="1" s="163">
      <c r="A288" s="319">
        <f>'E M DE EDUCAÇÃO ESPECIAL SANTOS'!I10</f>
        <v/>
      </c>
      <c r="B288" s="320">
        <f>'E M DE EDUCAÇÃO ESPECIAL SANTOS'!D10</f>
        <v/>
      </c>
    </row>
    <row r="289" ht="15" customHeight="1" s="163">
      <c r="A289" s="319">
        <f>'E M DE EDUCAÇÃO ESPECIAL SANTOS'!I11</f>
        <v/>
      </c>
      <c r="B289" s="320">
        <f>'E M DE EDUCAÇÃO ESPECIAL SANTOS'!D11</f>
        <v/>
      </c>
    </row>
    <row r="290" ht="15" customHeight="1" s="163">
      <c r="A290" s="319">
        <f>'E M DE EDUCAÇÃO ESPECIAL SANTOS'!I12</f>
        <v/>
      </c>
      <c r="B290" s="320">
        <f>'E M DE EDUCAÇÃO ESPECIAL SANTOS'!D12</f>
        <v/>
      </c>
    </row>
    <row r="291" ht="15" customHeight="1" s="163">
      <c r="A291" s="319">
        <f>'E M DE EDUCAÇÃO ESPECIAL SANTOS'!I13</f>
        <v/>
      </c>
      <c r="B291" s="320">
        <f>'E M DE EDUCAÇÃO ESPECIAL SANTOS'!D13</f>
        <v/>
      </c>
    </row>
    <row r="292" ht="15" customHeight="1" s="163">
      <c r="A292" s="319">
        <f>'E M DE EDUCAÇÃO ESPECIAL SANTOS'!I14</f>
        <v/>
      </c>
      <c r="B292" s="320">
        <f>'E M DE EDUCAÇÃO ESPECIAL SANTOS'!D14</f>
        <v/>
      </c>
    </row>
    <row r="293" ht="15" customHeight="1" s="163">
      <c r="A293" s="319">
        <f>'E M DE EDUCAÇÃO ESPECIAL SANTOS'!I15</f>
        <v/>
      </c>
      <c r="B293" s="320">
        <f>'E M DE EDUCAÇÃO ESPECIAL SANTOS'!D15</f>
        <v/>
      </c>
    </row>
    <row r="294" ht="15" customHeight="1" s="163">
      <c r="A294" s="319">
        <f>'E M DE EDUCAÇÃO ESPECIAL SANTOS'!I16</f>
        <v/>
      </c>
      <c r="B294" s="320">
        <f>'E M DE EDUCAÇÃO ESPECIAL SANTOS'!D16</f>
        <v/>
      </c>
    </row>
    <row r="295" ht="15" customHeight="1" s="163">
      <c r="A295" s="319">
        <f>'E M DE EDUCAÇÃO ESPECIAL SANTOS'!I17</f>
        <v/>
      </c>
      <c r="B295" s="320">
        <f>'E M DE EDUCAÇÃO ESPECIAL SANTOS'!D17</f>
        <v/>
      </c>
    </row>
    <row r="296" ht="15" customHeight="1" s="163">
      <c r="A296" s="319">
        <f>'E M DE EDUCAÇÃO ESPECIAL SANTOS'!I18</f>
        <v/>
      </c>
      <c r="B296" s="320">
        <f>'E M DE EDUCAÇÃO ESPECIAL SANTOS'!D18</f>
        <v/>
      </c>
    </row>
    <row r="297" ht="15" customHeight="1" s="163">
      <c r="A297" s="319">
        <f>'E M DE EDUCAÇÃO ESPECIAL SANTOS'!I19</f>
        <v/>
      </c>
      <c r="B297" s="320">
        <f>'E M DE EDUCAÇÃO ESPECIAL SANTOS'!D19</f>
        <v/>
      </c>
    </row>
    <row r="298" ht="15" customHeight="1" s="163">
      <c r="A298" s="319">
        <f>'E M DE EDUCAÇÃO ESPECIAL SANTOS'!I20</f>
        <v/>
      </c>
      <c r="B298" s="320">
        <f>'E M DE EDUCAÇÃO ESPECIAL SANTOS'!D20</f>
        <v/>
      </c>
    </row>
    <row r="299" ht="15" customHeight="1" s="163">
      <c r="A299" s="319">
        <f>'E M DE EDUCAÇÃO ESPECIAL SANTOS'!I21</f>
        <v/>
      </c>
      <c r="B299" s="320">
        <f>'E M DE EDUCAÇÃO ESPECIAL SANTOS'!D21</f>
        <v/>
      </c>
    </row>
    <row r="300" ht="15" customHeight="1" s="163">
      <c r="A300" s="319">
        <f>'E M DE EDUCAÇÃO ESPECIAL SANTOS'!I22</f>
        <v/>
      </c>
      <c r="B300" s="320">
        <f>'E M DE EDUCAÇÃO ESPECIAL SANTOS'!D22</f>
        <v/>
      </c>
    </row>
    <row r="301" ht="15" customHeight="1" s="163">
      <c r="A301" s="319">
        <f>'E M DE EDUCAÇÃO ESPECIAL SANTOS'!I23</f>
        <v/>
      </c>
      <c r="B301" s="320">
        <f>'E M DE EDUCAÇÃO ESPECIAL SANTOS'!D23</f>
        <v/>
      </c>
    </row>
    <row r="302" ht="15" customHeight="1" s="163">
      <c r="A302" s="319">
        <f>'E M DE EDUCAÇÃO ESPECIAL SANTOS'!I24</f>
        <v/>
      </c>
      <c r="B302" s="320">
        <f>'E M DE EDUCAÇÃO ESPECIAL SANTOS'!D24</f>
        <v/>
      </c>
    </row>
    <row r="303" ht="15" customHeight="1" s="163">
      <c r="A303" s="319">
        <f>'E M DE EDUCAÇÃO ESPECIAL SANTOS'!I25</f>
        <v/>
      </c>
      <c r="B303" s="320">
        <f>'E M DE EDUCAÇÃO ESPECIAL SANTOS'!D25</f>
        <v/>
      </c>
    </row>
    <row r="304" ht="15" customHeight="1" s="163">
      <c r="A304" s="319">
        <f>'E M DE EDUCAÇÃO ESPECIAL SANTOS'!I26</f>
        <v/>
      </c>
      <c r="B304" s="320">
        <f>'E M DE EDUCAÇÃO ESPECIAL SANTOS'!D26</f>
        <v/>
      </c>
    </row>
    <row r="305" ht="15" customHeight="1" s="163">
      <c r="A305" s="319">
        <f>'E M DE EDUCAÇÃO ESPECIAL SANTOS'!I27</f>
        <v/>
      </c>
      <c r="B305" s="320">
        <f>'E M DE EDUCAÇÃO ESPECIAL SANTOS'!D27</f>
        <v/>
      </c>
    </row>
    <row r="306" ht="15" customHeight="1" s="163">
      <c r="A306" s="319">
        <f>'E M SOROPTIMISTA'!I9</f>
        <v/>
      </c>
      <c r="B306" s="320">
        <f>'E M SOROPTIMISTA'!D9</f>
        <v/>
      </c>
    </row>
    <row r="307" ht="15" customHeight="1" s="163">
      <c r="A307" s="319">
        <f>'E M SOROPTIMISTA'!I10</f>
        <v/>
      </c>
      <c r="B307" s="320">
        <f>'E M SOROPTIMISTA'!D10</f>
        <v/>
      </c>
    </row>
    <row r="308" ht="15" customHeight="1" s="163">
      <c r="A308" s="319">
        <f>'E M SOROPTIMISTA'!I11</f>
        <v/>
      </c>
      <c r="B308" s="320">
        <f>'E M SOROPTIMISTA'!D11</f>
        <v/>
      </c>
    </row>
    <row r="309" ht="15" customHeight="1" s="163">
      <c r="A309" s="319">
        <f>'E M SOROPTIMISTA'!I12</f>
        <v/>
      </c>
      <c r="B309" s="320">
        <f>'E M SOROPTIMISTA'!D12</f>
        <v/>
      </c>
    </row>
    <row r="310" ht="15" customHeight="1" s="163">
      <c r="A310" s="319">
        <f>'E M SOROPTIMISTA'!I13</f>
        <v/>
      </c>
      <c r="B310" s="320">
        <f>'E M SOROPTIMISTA'!D13</f>
        <v/>
      </c>
    </row>
    <row r="311" ht="15" customHeight="1" s="163">
      <c r="A311" s="319">
        <f>'E M SOROPTIMISTA'!I14</f>
        <v/>
      </c>
      <c r="B311" s="320">
        <f>'E M SOROPTIMISTA'!D14</f>
        <v/>
      </c>
    </row>
    <row r="312" ht="15" customHeight="1" s="163">
      <c r="A312" s="319">
        <f>'E M SOROPTIMISTA'!I15</f>
        <v/>
      </c>
      <c r="B312" s="320">
        <f>'E M SOROPTIMISTA'!D15</f>
        <v/>
      </c>
    </row>
    <row r="313" ht="15" customHeight="1" s="163">
      <c r="A313" s="319">
        <f>'E M SOROPTIMISTA'!I16</f>
        <v/>
      </c>
      <c r="B313" s="320">
        <f>'E M SOROPTIMISTA'!D16</f>
        <v/>
      </c>
    </row>
    <row r="314" ht="15" customHeight="1" s="163">
      <c r="A314" s="319">
        <f>'E M SOROPTIMISTA'!I17</f>
        <v/>
      </c>
      <c r="B314" s="320">
        <f>'E M SOROPTIMISTA'!D17</f>
        <v/>
      </c>
    </row>
    <row r="315" ht="15" customHeight="1" s="163">
      <c r="A315" s="319">
        <f>'E M SOROPTIMISTA'!I18</f>
        <v/>
      </c>
      <c r="B315" s="320">
        <f>'E M SOROPTIMISTA'!D18</f>
        <v/>
      </c>
    </row>
    <row r="316" ht="15" customHeight="1" s="163">
      <c r="A316" s="319">
        <f>'E M SOROPTIMISTA'!I19</f>
        <v/>
      </c>
      <c r="B316" s="320">
        <f>'E M SOROPTIMISTA'!D19</f>
        <v/>
      </c>
    </row>
    <row r="317" ht="15" customHeight="1" s="163">
      <c r="A317" s="319">
        <f>'E M SOROPTIMISTA'!I20</f>
        <v/>
      </c>
      <c r="B317" s="320">
        <f>'E M SOROPTIMISTA'!D20</f>
        <v/>
      </c>
    </row>
    <row r="318" ht="15" customHeight="1" s="163">
      <c r="A318" s="319">
        <f>'E M SOROPTIMISTA'!I21</f>
        <v/>
      </c>
      <c r="B318" s="320">
        <f>'E M SOROPTIMISTA'!D21</f>
        <v/>
      </c>
    </row>
    <row r="319" ht="15" customHeight="1" s="163">
      <c r="A319" s="319">
        <f>'E M SOROPTIMISTA'!I22</f>
        <v/>
      </c>
      <c r="B319" s="320">
        <f>'E M SOROPTIMISTA'!D22</f>
        <v/>
      </c>
    </row>
    <row r="320" ht="15" customHeight="1" s="163">
      <c r="A320" s="319">
        <f>'E M SOROPTIMISTA'!I23</f>
        <v/>
      </c>
      <c r="B320" s="320">
        <f>'E M SOROPTIMISTA'!D23</f>
        <v/>
      </c>
    </row>
    <row r="321" ht="15" customHeight="1" s="163">
      <c r="A321" s="319">
        <f>'E M SOROPTIMISTA'!I24</f>
        <v/>
      </c>
      <c r="B321" s="320">
        <f>'E M SOROPTIMISTA'!D24</f>
        <v/>
      </c>
    </row>
    <row r="322" ht="15" customHeight="1" s="163">
      <c r="A322" s="319">
        <f>'E M SOROPTIMISTA'!I25</f>
        <v/>
      </c>
      <c r="B322" s="320">
        <f>'E M SOROPTIMISTA'!D25</f>
        <v/>
      </c>
    </row>
    <row r="323" ht="15" customHeight="1" s="163">
      <c r="A323" s="319">
        <f>'E M SOROPTIMISTA'!I26</f>
        <v/>
      </c>
      <c r="B323" s="320">
        <f>'E M SOROPTIMISTA'!D26</f>
        <v/>
      </c>
    </row>
    <row r="324" ht="15" customHeight="1" s="163">
      <c r="A324" s="319">
        <f>'E M SOROPTIMISTA'!I27</f>
        <v/>
      </c>
      <c r="B324" s="320">
        <f>'E M SOROPTIMISTA'!D27</f>
        <v/>
      </c>
    </row>
    <row r="325" ht="15" customHeight="1" s="163">
      <c r="A325" s="319">
        <f>'LICEU MUN PREFEITO CORDOLINO AM'!I9</f>
        <v/>
      </c>
      <c r="B325" s="320">
        <f>'LICEU MUN PREFEITO CORDOLINO AM'!D9</f>
        <v/>
      </c>
    </row>
    <row r="326" ht="15" customHeight="1" s="163">
      <c r="A326" s="319">
        <f>'LICEU MUN PREFEITO CORDOLINO AM'!I10</f>
        <v/>
      </c>
      <c r="B326" s="320">
        <f>'LICEU MUN PREFEITO CORDOLINO AM'!D10</f>
        <v/>
      </c>
    </row>
    <row r="327" ht="15" customHeight="1" s="163">
      <c r="A327" s="319">
        <f>'LICEU MUN PREFEITO CORDOLINO AM'!I11</f>
        <v/>
      </c>
      <c r="B327" s="320">
        <f>'LICEU MUN PREFEITO CORDOLINO AM'!D11</f>
        <v/>
      </c>
    </row>
    <row r="328" ht="15" customHeight="1" s="163">
      <c r="A328" s="319">
        <f>'LICEU MUN PREFEITO CORDOLINO AM'!I12</f>
        <v/>
      </c>
      <c r="B328" s="320">
        <f>'LICEU MUN PREFEITO CORDOLINO AM'!D12</f>
        <v/>
      </c>
    </row>
    <row r="329" ht="15" customHeight="1" s="163">
      <c r="A329" s="319">
        <f>'LICEU MUN PREFEITO CORDOLINO AM'!I13</f>
        <v/>
      </c>
      <c r="B329" s="320">
        <f>'LICEU MUN PREFEITO CORDOLINO AM'!D13</f>
        <v/>
      </c>
    </row>
    <row r="330" ht="15" customHeight="1" s="163">
      <c r="A330" s="319">
        <f>'LICEU MUN PREFEITO CORDOLINO AM'!I14</f>
        <v/>
      </c>
      <c r="B330" s="320">
        <f>'LICEU MUN PREFEITO CORDOLINO AM'!D14</f>
        <v/>
      </c>
    </row>
    <row r="331" ht="15" customHeight="1" s="163">
      <c r="A331" s="319">
        <f>'LICEU MUN PREFEITO CORDOLINO AM'!I15</f>
        <v/>
      </c>
      <c r="B331" s="320">
        <f>'LICEU MUN PREFEITO CORDOLINO AM'!D15</f>
        <v/>
      </c>
    </row>
    <row r="332" ht="15" customHeight="1" s="163">
      <c r="A332" s="319">
        <f>'LICEU MUN PREFEITO CORDOLINO AM'!I16</f>
        <v/>
      </c>
      <c r="B332" s="320">
        <f>'LICEU MUN PREFEITO CORDOLINO AM'!D16</f>
        <v/>
      </c>
    </row>
    <row r="333" ht="15" customHeight="1" s="163">
      <c r="A333" s="319">
        <f>'LICEU MUN PREFEITO CORDOLINO AM'!I17</f>
        <v/>
      </c>
      <c r="B333" s="320">
        <f>'LICEU MUN PREFEITO CORDOLINO AM'!D17</f>
        <v/>
      </c>
    </row>
    <row r="334" ht="15" customHeight="1" s="163">
      <c r="A334" s="319">
        <f>'LICEU MUN PREFEITO CORDOLINO AM'!I18</f>
        <v/>
      </c>
      <c r="B334" s="320">
        <f>'LICEU MUN PREFEITO CORDOLINO AM'!D18</f>
        <v/>
      </c>
    </row>
    <row r="335" ht="15" customHeight="1" s="163">
      <c r="A335" s="319">
        <f>'LICEU MUN PREFEITO CORDOLINO AM'!I19</f>
        <v/>
      </c>
      <c r="B335" s="320">
        <f>'LICEU MUN PREFEITO CORDOLINO AM'!D19</f>
        <v/>
      </c>
    </row>
    <row r="336" ht="15" customHeight="1" s="163">
      <c r="A336" s="319">
        <f>'LICEU MUN PREFEITO CORDOLINO AM'!I20</f>
        <v/>
      </c>
      <c r="B336" s="320">
        <f>'LICEU MUN PREFEITO CORDOLINO AM'!D20</f>
        <v/>
      </c>
    </row>
    <row r="337" ht="15" customHeight="1" s="163">
      <c r="A337" s="319">
        <f>'LICEU MUN PREFEITO CORDOLINO AM'!I21</f>
        <v/>
      </c>
      <c r="B337" s="320">
        <f>'LICEU MUN PREFEITO CORDOLINO AM'!D21</f>
        <v/>
      </c>
    </row>
    <row r="338" ht="15" customHeight="1" s="163">
      <c r="A338" s="319">
        <f>'LICEU MUN PREFEITO CORDOLINO AM'!I22</f>
        <v/>
      </c>
      <c r="B338" s="320">
        <f>'LICEU MUN PREFEITO CORDOLINO AM'!D22</f>
        <v/>
      </c>
    </row>
    <row r="339" ht="15" customHeight="1" s="163">
      <c r="A339" s="319">
        <f>'LICEU MUN PREFEITO CORDOLINO AM'!I23</f>
        <v/>
      </c>
      <c r="B339" s="320">
        <f>'LICEU MUN PREFEITO CORDOLINO AM'!D23</f>
        <v/>
      </c>
    </row>
    <row r="340" ht="15" customHeight="1" s="163">
      <c r="A340" s="319">
        <f>'LICEU MUN PREFEITO CORDOLINO AM'!I24</f>
        <v/>
      </c>
      <c r="B340" s="320">
        <f>'LICEU MUN PREFEITO CORDOLINO AM'!D24</f>
        <v/>
      </c>
    </row>
    <row r="341" ht="15" customHeight="1" s="163">
      <c r="A341" s="319">
        <f>'LICEU MUN PREFEITO CORDOLINO AM'!I25</f>
        <v/>
      </c>
      <c r="B341" s="320">
        <f>'LICEU MUN PREFEITO CORDOLINO AM'!D25</f>
        <v/>
      </c>
    </row>
    <row r="342" ht="15" customHeight="1" s="163">
      <c r="A342" s="319">
        <f>'LICEU MUN PREFEITO CORDOLINO AM'!I26</f>
        <v/>
      </c>
      <c r="B342" s="320">
        <f>'LICEU MUN PREFEITO CORDOLINO AM'!D26</f>
        <v/>
      </c>
    </row>
    <row r="343" ht="15" customHeight="1" s="163">
      <c r="A343" s="319">
        <f>'LICEU MUN PREFEITO CORDOLINO AM'!I27</f>
        <v/>
      </c>
      <c r="B343" s="320">
        <f>'LICEU MUN PREFEITO CORDOLINO AM'!D27</f>
        <v/>
      </c>
    </row>
    <row r="344" ht="15" customHeight="1" s="163">
      <c r="A344" s="319">
        <f>'E M ANTÔNIO LEITE GARCIA'!I9</f>
        <v/>
      </c>
      <c r="B344" s="320">
        <f>'E M ANTÔNIO LEITE GARCIA'!D9</f>
        <v/>
      </c>
    </row>
    <row r="345" ht="15" customHeight="1" s="163">
      <c r="A345" s="319">
        <f>'E M ANTÔNIO LEITE GARCIA'!I10</f>
        <v/>
      </c>
      <c r="B345" s="320">
        <f>'E M ANTÔNIO LEITE GARCIA'!D10</f>
        <v/>
      </c>
    </row>
    <row r="346" ht="15" customHeight="1" s="163">
      <c r="A346" s="319">
        <f>'E M ANTÔNIO LEITE GARCIA'!I11</f>
        <v/>
      </c>
      <c r="B346" s="320">
        <f>'E M ANTÔNIO LEITE GARCIA'!D11</f>
        <v/>
      </c>
    </row>
    <row r="347" ht="15" customHeight="1" s="163">
      <c r="A347" s="319">
        <f>'E M ANTÔNIO LEITE GARCIA'!I12</f>
        <v/>
      </c>
      <c r="B347" s="320">
        <f>'E M ANTÔNIO LEITE GARCIA'!D12</f>
        <v/>
      </c>
    </row>
    <row r="348" ht="15" customHeight="1" s="163">
      <c r="A348" s="319">
        <f>'E M ANTÔNIO LEITE GARCIA'!I13</f>
        <v/>
      </c>
      <c r="B348" s="320">
        <f>'E M ANTÔNIO LEITE GARCIA'!D13</f>
        <v/>
      </c>
    </row>
    <row r="349" ht="15" customHeight="1" s="163">
      <c r="A349" s="319">
        <f>'E M ANTÔNIO LEITE GARCIA'!I14</f>
        <v/>
      </c>
      <c r="B349" s="320">
        <f>'E M ANTÔNIO LEITE GARCIA'!D14</f>
        <v/>
      </c>
    </row>
    <row r="350" ht="15" customHeight="1" s="163">
      <c r="A350" s="319">
        <f>'E M ANTÔNIO LEITE GARCIA'!I15</f>
        <v/>
      </c>
      <c r="B350" s="320">
        <f>'E M ANTÔNIO LEITE GARCIA'!D15</f>
        <v/>
      </c>
    </row>
    <row r="351" ht="15" customHeight="1" s="163">
      <c r="A351" s="319">
        <f>'E M ANTÔNIO LEITE GARCIA'!I16</f>
        <v/>
      </c>
      <c r="B351" s="320">
        <f>'E M ANTÔNIO LEITE GARCIA'!D16</f>
        <v/>
      </c>
    </row>
    <row r="352" ht="15" customHeight="1" s="163">
      <c r="A352" s="319">
        <f>'E M ANTÔNIO LEITE GARCIA'!I17</f>
        <v/>
      </c>
      <c r="B352" s="320">
        <f>'E M ANTÔNIO LEITE GARCIA'!D17</f>
        <v/>
      </c>
    </row>
    <row r="353" ht="15" customHeight="1" s="163">
      <c r="A353" s="319">
        <f>'E M ANTÔNIO LEITE GARCIA'!I18</f>
        <v/>
      </c>
      <c r="B353" s="320">
        <f>'E M ANTÔNIO LEITE GARCIA'!D18</f>
        <v/>
      </c>
    </row>
    <row r="354" ht="15" customHeight="1" s="163">
      <c r="A354" s="319">
        <f>'E M ANTÔNIO LEITE GARCIA'!I19</f>
        <v/>
      </c>
      <c r="B354" s="320">
        <f>'E M ANTÔNIO LEITE GARCIA'!D19</f>
        <v/>
      </c>
    </row>
    <row r="355" ht="15" customHeight="1" s="163">
      <c r="A355" s="319">
        <f>'E M ANTÔNIO LEITE GARCIA'!I20</f>
        <v/>
      </c>
      <c r="B355" s="320">
        <f>'E M ANTÔNIO LEITE GARCIA'!D20</f>
        <v/>
      </c>
    </row>
    <row r="356" ht="15" customHeight="1" s="163">
      <c r="A356" s="319">
        <f>'E M ANTÔNIO LEITE GARCIA'!I21</f>
        <v/>
      </c>
      <c r="B356" s="320">
        <f>'E M ANTÔNIO LEITE GARCIA'!D21</f>
        <v/>
      </c>
    </row>
    <row r="357" ht="15" customHeight="1" s="163">
      <c r="A357" s="319">
        <f>'E M ANTÔNIO LEITE GARCIA'!I22</f>
        <v/>
      </c>
      <c r="B357" s="320">
        <f>'E M ANTÔNIO LEITE GARCIA'!D22</f>
        <v/>
      </c>
    </row>
    <row r="358" ht="15" customHeight="1" s="163">
      <c r="A358" s="319">
        <f>'E M ANTÔNIO LEITE GARCIA'!I23</f>
        <v/>
      </c>
      <c r="B358" s="320">
        <f>'E M ANTÔNIO LEITE GARCIA'!D23</f>
        <v/>
      </c>
    </row>
    <row r="359" ht="15" customHeight="1" s="163">
      <c r="A359" s="319">
        <f>'E M ANTÔNIO LEITE GARCIA'!I24</f>
        <v/>
      </c>
      <c r="B359" s="320">
        <f>'E M ANTÔNIO LEITE GARCIA'!D24</f>
        <v/>
      </c>
    </row>
    <row r="360" ht="15" customHeight="1" s="163">
      <c r="A360" s="319">
        <f>'E M ANTÔNIO LEITE GARCIA'!I25</f>
        <v/>
      </c>
      <c r="B360" s="320">
        <f>'E M ANTÔNIO LEITE GARCIA'!D25</f>
        <v/>
      </c>
    </row>
    <row r="361" ht="15" customHeight="1" s="163">
      <c r="A361" s="319">
        <f>'E M ANTÔNIO LEITE GARCIA'!I26</f>
        <v/>
      </c>
      <c r="B361" s="320">
        <f>'E M ANTÔNIO LEITE GARCIA'!D26</f>
        <v/>
      </c>
    </row>
    <row r="362" ht="15" customHeight="1" s="163">
      <c r="A362" s="319">
        <f>'E M ANTÔNIO LEITE GARCIA'!I27</f>
        <v/>
      </c>
      <c r="B362" s="320">
        <f>'E M ANTÔNIO LEITE GARCIA'!D27</f>
        <v/>
      </c>
    </row>
    <row r="363" ht="15" customHeight="1" s="163">
      <c r="A363" s="319">
        <f>'ESCOLA MUNICIPAL JORGE AMADO'!I9</f>
        <v/>
      </c>
      <c r="B363" s="320">
        <f>'ESCOLA MUNICIPAL JORGE AMADO'!D9</f>
        <v/>
      </c>
    </row>
    <row r="364" ht="15" customHeight="1" s="163">
      <c r="A364" s="319">
        <f>'ESCOLA MUNICIPAL JORGE AMADO'!I10</f>
        <v/>
      </c>
      <c r="B364" s="320">
        <f>'ESCOLA MUNICIPAL JORGE AMADO'!D10</f>
        <v/>
      </c>
    </row>
    <row r="365" ht="15" customHeight="1" s="163">
      <c r="A365" s="319">
        <f>'ESCOLA MUNICIPAL JORGE AMADO'!I11</f>
        <v/>
      </c>
      <c r="B365" s="320">
        <f>'ESCOLA MUNICIPAL JORGE AMADO'!D11</f>
        <v/>
      </c>
    </row>
    <row r="366" ht="15" customHeight="1" s="163">
      <c r="A366" s="319">
        <f>'ESCOLA MUNICIPAL JORGE AMADO'!I12</f>
        <v/>
      </c>
      <c r="B366" s="320">
        <f>'ESCOLA MUNICIPAL JORGE AMADO'!D12</f>
        <v/>
      </c>
    </row>
    <row r="367" ht="15" customHeight="1" s="163">
      <c r="A367" s="319">
        <f>'ESCOLA MUNICIPAL JORGE AMADO'!I13</f>
        <v/>
      </c>
      <c r="B367" s="320">
        <f>'ESCOLA MUNICIPAL JORGE AMADO'!D13</f>
        <v/>
      </c>
    </row>
    <row r="368" ht="15" customHeight="1" s="163">
      <c r="A368" s="319">
        <f>'ESCOLA MUNICIPAL JORGE AMADO'!I14</f>
        <v/>
      </c>
      <c r="B368" s="320">
        <f>'ESCOLA MUNICIPAL JORGE AMADO'!D14</f>
        <v/>
      </c>
    </row>
    <row r="369" ht="15" customHeight="1" s="163">
      <c r="A369" s="319">
        <f>'ESCOLA MUNICIPAL JORGE AMADO'!I15</f>
        <v/>
      </c>
      <c r="B369" s="320">
        <f>'ESCOLA MUNICIPAL JORGE AMADO'!D15</f>
        <v/>
      </c>
    </row>
    <row r="370" ht="15" customHeight="1" s="163">
      <c r="A370" s="319">
        <f>'ESCOLA MUNICIPAL JORGE AMADO'!I16</f>
        <v/>
      </c>
      <c r="B370" s="320">
        <f>'ESCOLA MUNICIPAL JORGE AMADO'!D16</f>
        <v/>
      </c>
    </row>
    <row r="371" ht="15" customHeight="1" s="163">
      <c r="A371" s="319">
        <f>'ESCOLA MUNICIPAL JORGE AMADO'!I17</f>
        <v/>
      </c>
      <c r="B371" s="320">
        <f>'ESCOLA MUNICIPAL JORGE AMADO'!D17</f>
        <v/>
      </c>
    </row>
    <row r="372" ht="15" customHeight="1" s="163">
      <c r="A372" s="319">
        <f>'ESCOLA MUNICIPAL JORGE AMADO'!I18</f>
        <v/>
      </c>
      <c r="B372" s="320">
        <f>'ESCOLA MUNICIPAL JORGE AMADO'!D18</f>
        <v/>
      </c>
    </row>
    <row r="373" ht="15" customHeight="1" s="163">
      <c r="A373" s="319">
        <f>'ESCOLA MUNICIPAL JORGE AMADO'!I19</f>
        <v/>
      </c>
      <c r="B373" s="320">
        <f>'ESCOLA MUNICIPAL JORGE AMADO'!D19</f>
        <v/>
      </c>
    </row>
    <row r="374" ht="15" customHeight="1" s="163">
      <c r="A374" s="319">
        <f>'ESCOLA MUNICIPAL JORGE AMADO'!I20</f>
        <v/>
      </c>
      <c r="B374" s="320">
        <f>'ESCOLA MUNICIPAL JORGE AMADO'!D20</f>
        <v/>
      </c>
    </row>
    <row r="375" ht="15" customHeight="1" s="163">
      <c r="A375" s="319">
        <f>'ESCOLA MUNICIPAL JORGE AMADO'!I21</f>
        <v/>
      </c>
      <c r="B375" s="320">
        <f>'ESCOLA MUNICIPAL JORGE AMADO'!D21</f>
        <v/>
      </c>
    </row>
    <row r="376" ht="15" customHeight="1" s="163">
      <c r="A376" s="319">
        <f>'ESCOLA MUNICIPAL JORGE AMADO'!I22</f>
        <v/>
      </c>
      <c r="B376" s="320">
        <f>'ESCOLA MUNICIPAL JORGE AMADO'!D22</f>
        <v/>
      </c>
    </row>
    <row r="377" ht="15" customHeight="1" s="163">
      <c r="A377" s="319">
        <f>'ESCOLA MUNICIPAL JORGE AMADO'!I23</f>
        <v/>
      </c>
      <c r="B377" s="320">
        <f>'ESCOLA MUNICIPAL JORGE AMADO'!D23</f>
        <v/>
      </c>
    </row>
    <row r="378" ht="15" customHeight="1" s="163">
      <c r="A378" s="319">
        <f>'ESCOLA MUNICIPAL JORGE AMADO'!I24</f>
        <v/>
      </c>
      <c r="B378" s="320">
        <f>'ESCOLA MUNICIPAL JORGE AMADO'!D24</f>
        <v/>
      </c>
    </row>
    <row r="379" ht="15" customHeight="1" s="163">
      <c r="A379" s="319">
        <f>'ESCOLA MUNICIPAL JORGE AMADO'!I25</f>
        <v/>
      </c>
      <c r="B379" s="320">
        <f>'ESCOLA MUNICIPAL JORGE AMADO'!D25</f>
        <v/>
      </c>
    </row>
    <row r="380" ht="15" customHeight="1" s="163">
      <c r="A380" s="319">
        <f>'ESCOLA MUNICIPAL JORGE AMADO'!I26</f>
        <v/>
      </c>
      <c r="B380" s="320">
        <f>'ESCOLA MUNICIPAL JORGE AMADO'!D26</f>
        <v/>
      </c>
    </row>
    <row r="381" ht="15" customHeight="1" s="163">
      <c r="A381" s="319">
        <f>'ESCOLA MUNICIPAL JORGE AMADO'!I27</f>
        <v/>
      </c>
      <c r="B381" s="320">
        <f>'ESCOLA MUNICIPAL JORGE AMADO'!D27</f>
        <v/>
      </c>
    </row>
    <row r="382" ht="15" customHeight="1" s="163">
      <c r="A382" s="319">
        <f>'ESCOLA MUNICIPAL LÚCIA DE ALMEI'!I9</f>
        <v/>
      </c>
      <c r="B382" s="320">
        <f>'ESCOLA MUNICIPAL LÚCIA DE ALMEI'!D9</f>
        <v/>
      </c>
    </row>
    <row r="383" ht="15" customHeight="1" s="163">
      <c r="A383" s="319">
        <f>'ESCOLA MUNICIPAL LÚCIA DE ALMEI'!I10</f>
        <v/>
      </c>
      <c r="B383" s="320">
        <f>'ESCOLA MUNICIPAL LÚCIA DE ALMEI'!D10</f>
        <v/>
      </c>
    </row>
    <row r="384" ht="15" customHeight="1" s="163">
      <c r="A384" s="319">
        <f>'ESCOLA MUNICIPAL LÚCIA DE ALMEI'!I11</f>
        <v/>
      </c>
      <c r="B384" s="320">
        <f>'ESCOLA MUNICIPAL LÚCIA DE ALMEI'!D11</f>
        <v/>
      </c>
    </row>
    <row r="385" ht="15" customHeight="1" s="163">
      <c r="A385" s="319">
        <f>'ESCOLA MUNICIPAL LÚCIA DE ALMEI'!I12</f>
        <v/>
      </c>
      <c r="B385" s="320">
        <f>'ESCOLA MUNICIPAL LÚCIA DE ALMEI'!D12</f>
        <v/>
      </c>
    </row>
    <row r="386" ht="15" customHeight="1" s="163">
      <c r="A386" s="319">
        <f>'ESCOLA MUNICIPAL LÚCIA DE ALMEI'!I13</f>
        <v/>
      </c>
      <c r="B386" s="320">
        <f>'ESCOLA MUNICIPAL LÚCIA DE ALMEI'!D13</f>
        <v/>
      </c>
    </row>
    <row r="387" ht="15" customHeight="1" s="163">
      <c r="A387" s="319">
        <f>'ESCOLA MUNICIPAL LÚCIA DE ALMEI'!I14</f>
        <v/>
      </c>
      <c r="B387" s="320">
        <f>'ESCOLA MUNICIPAL LÚCIA DE ALMEI'!D14</f>
        <v/>
      </c>
    </row>
    <row r="388" ht="15" customHeight="1" s="163">
      <c r="A388" s="319">
        <f>'ESCOLA MUNICIPAL LÚCIA DE ALMEI'!I15</f>
        <v/>
      </c>
      <c r="B388" s="320">
        <f>'ESCOLA MUNICIPAL LÚCIA DE ALMEI'!D15</f>
        <v/>
      </c>
    </row>
    <row r="389" ht="15" customHeight="1" s="163">
      <c r="A389" s="319">
        <f>'ESCOLA MUNICIPAL LÚCIA DE ALMEI'!I16</f>
        <v/>
      </c>
      <c r="B389" s="320">
        <f>'ESCOLA MUNICIPAL LÚCIA DE ALMEI'!D16</f>
        <v/>
      </c>
    </row>
    <row r="390" ht="15" customHeight="1" s="163">
      <c r="A390" s="319">
        <f>'ESCOLA MUNICIPAL LÚCIA DE ALMEI'!I17</f>
        <v/>
      </c>
      <c r="B390" s="320">
        <f>'ESCOLA MUNICIPAL LÚCIA DE ALMEI'!D17</f>
        <v/>
      </c>
    </row>
    <row r="391" ht="15" customHeight="1" s="163">
      <c r="A391" s="319">
        <f>'ESCOLA MUNICIPAL LÚCIA DE ALMEI'!I18</f>
        <v/>
      </c>
      <c r="B391" s="320">
        <f>'ESCOLA MUNICIPAL LÚCIA DE ALMEI'!D18</f>
        <v/>
      </c>
    </row>
    <row r="392" ht="15" customHeight="1" s="163">
      <c r="A392" s="319">
        <f>'ESCOLA MUNICIPAL LÚCIA DE ALMEI'!I19</f>
        <v/>
      </c>
      <c r="B392" s="320">
        <f>'ESCOLA MUNICIPAL LÚCIA DE ALMEI'!D19</f>
        <v/>
      </c>
    </row>
    <row r="393" ht="15" customHeight="1" s="163">
      <c r="A393" s="319">
        <f>'ESCOLA MUNICIPAL LÚCIA DE ALMEI'!I20</f>
        <v/>
      </c>
      <c r="B393" s="320">
        <f>'ESCOLA MUNICIPAL LÚCIA DE ALMEI'!D20</f>
        <v/>
      </c>
    </row>
    <row r="394" ht="15" customHeight="1" s="163">
      <c r="A394" s="319">
        <f>'ESCOLA MUNICIPAL LÚCIA DE ALMEI'!I21</f>
        <v/>
      </c>
      <c r="B394" s="320">
        <f>'ESCOLA MUNICIPAL LÚCIA DE ALMEI'!D21</f>
        <v/>
      </c>
    </row>
    <row r="395" ht="15" customHeight="1" s="163">
      <c r="A395" s="319">
        <f>'ESCOLA MUNICIPAL LÚCIA DE ALMEI'!I22</f>
        <v/>
      </c>
      <c r="B395" s="320">
        <f>'ESCOLA MUNICIPAL LÚCIA DE ALMEI'!D22</f>
        <v/>
      </c>
    </row>
    <row r="396" ht="15" customHeight="1" s="163">
      <c r="A396" s="319">
        <f>'ESCOLA MUNICIPAL LÚCIA DE ALMEI'!I23</f>
        <v/>
      </c>
      <c r="B396" s="320">
        <f>'ESCOLA MUNICIPAL LÚCIA DE ALMEI'!D23</f>
        <v/>
      </c>
    </row>
    <row r="397" ht="15" customHeight="1" s="163">
      <c r="A397" s="319">
        <f>'ESCOLA MUNICIPAL LÚCIA DE ALMEI'!I24</f>
        <v/>
      </c>
      <c r="B397" s="320">
        <f>'ESCOLA MUNICIPAL LÚCIA DE ALMEI'!D24</f>
        <v/>
      </c>
    </row>
    <row r="398" ht="15" customHeight="1" s="163">
      <c r="A398" s="319">
        <f>'ESCOLA MUNICIPAL LÚCIA DE ALMEI'!I25</f>
        <v/>
      </c>
      <c r="B398" s="320">
        <f>'ESCOLA MUNICIPAL LÚCIA DE ALMEI'!D25</f>
        <v/>
      </c>
    </row>
    <row r="399" ht="15" customHeight="1" s="163">
      <c r="A399" s="319">
        <f>'ESCOLA MUNICIPAL LÚCIA DE ALMEI'!I26</f>
        <v/>
      </c>
      <c r="B399" s="320">
        <f>'ESCOLA MUNICIPAL LÚCIA DE ALMEI'!D26</f>
        <v/>
      </c>
    </row>
    <row r="400" ht="15" customHeight="1" s="163">
      <c r="A400" s="319">
        <f>'ESCOLA MUNICIPAL LÚCIA DE ALMEI'!I27</f>
        <v/>
      </c>
      <c r="B400" s="320">
        <f>'ESCOLA MUNICIPAL LÚCIA DE ALMEI'!D27</f>
        <v/>
      </c>
    </row>
    <row r="401" ht="15" customHeight="1" s="163">
      <c r="A401" s="319">
        <f>'E M MAGDALENA TAGLIAFERRO'!I9</f>
        <v/>
      </c>
      <c r="B401" s="320">
        <f>'E M MAGDALENA TAGLIAFERRO'!D9</f>
        <v/>
      </c>
    </row>
    <row r="402" ht="15" customHeight="1" s="163">
      <c r="A402" s="319">
        <f>'E M MAGDALENA TAGLIAFERRO'!I10</f>
        <v/>
      </c>
      <c r="B402" s="320">
        <f>'E M MAGDALENA TAGLIAFERRO'!D10</f>
        <v/>
      </c>
    </row>
    <row r="403" ht="15" customHeight="1" s="163">
      <c r="A403" s="319">
        <f>'E M MAGDALENA TAGLIAFERRO'!I11</f>
        <v/>
      </c>
      <c r="B403" s="320">
        <f>'E M MAGDALENA TAGLIAFERRO'!D11</f>
        <v/>
      </c>
    </row>
    <row r="404" ht="15" customHeight="1" s="163">
      <c r="A404" s="319">
        <f>'E M MAGDALENA TAGLIAFERRO'!I12</f>
        <v/>
      </c>
      <c r="B404" s="320">
        <f>'E M MAGDALENA TAGLIAFERRO'!D12</f>
        <v/>
      </c>
    </row>
    <row r="405" ht="15" customHeight="1" s="163">
      <c r="A405" s="319">
        <f>'E M MAGDALENA TAGLIAFERRO'!I13</f>
        <v/>
      </c>
      <c r="B405" s="320">
        <f>'E M MAGDALENA TAGLIAFERRO'!D13</f>
        <v/>
      </c>
    </row>
    <row r="406" ht="15" customHeight="1" s="163">
      <c r="A406" s="319">
        <f>'E M MAGDALENA TAGLIAFERRO'!I14</f>
        <v/>
      </c>
      <c r="B406" s="320">
        <f>'E M MAGDALENA TAGLIAFERRO'!D14</f>
        <v/>
      </c>
    </row>
    <row r="407" ht="15" customHeight="1" s="163">
      <c r="A407" s="319">
        <f>'E M MAGDALENA TAGLIAFERRO'!I15</f>
        <v/>
      </c>
      <c r="B407" s="320">
        <f>'E M MAGDALENA TAGLIAFERRO'!D15</f>
        <v/>
      </c>
    </row>
    <row r="408" ht="15" customHeight="1" s="163">
      <c r="A408" s="319">
        <f>'E M MAGDALENA TAGLIAFERRO'!I16</f>
        <v/>
      </c>
      <c r="B408" s="320">
        <f>'E M MAGDALENA TAGLIAFERRO'!D16</f>
        <v/>
      </c>
    </row>
    <row r="409" ht="15" customHeight="1" s="163">
      <c r="A409" s="319">
        <f>'E M MAGDALENA TAGLIAFERRO'!I17</f>
        <v/>
      </c>
      <c r="B409" s="320">
        <f>'E M MAGDALENA TAGLIAFERRO'!D17</f>
        <v/>
      </c>
    </row>
    <row r="410" ht="15" customHeight="1" s="163">
      <c r="A410" s="319">
        <f>'E M MAGDALENA TAGLIAFERRO'!I18</f>
        <v/>
      </c>
      <c r="B410" s="320">
        <f>'E M MAGDALENA TAGLIAFERRO'!D18</f>
        <v/>
      </c>
    </row>
    <row r="411" ht="15" customHeight="1" s="163">
      <c r="A411" s="319">
        <f>'E M MAGDALENA TAGLIAFERRO'!I19</f>
        <v/>
      </c>
      <c r="B411" s="320">
        <f>'E M MAGDALENA TAGLIAFERRO'!D19</f>
        <v/>
      </c>
    </row>
    <row r="412" ht="15" customHeight="1" s="163">
      <c r="A412" s="319">
        <f>'E M MAGDALENA TAGLIAFERRO'!I20</f>
        <v/>
      </c>
      <c r="B412" s="320">
        <f>'E M MAGDALENA TAGLIAFERRO'!D20</f>
        <v/>
      </c>
    </row>
    <row r="413" ht="15" customHeight="1" s="163">
      <c r="A413" s="319">
        <f>'E M MAGDALENA TAGLIAFERRO'!I21</f>
        <v/>
      </c>
      <c r="B413" s="320">
        <f>'E M MAGDALENA TAGLIAFERRO'!D21</f>
        <v/>
      </c>
    </row>
    <row r="414" ht="15" customHeight="1" s="163">
      <c r="A414" s="319">
        <f>'E M MAGDALENA TAGLIAFERRO'!I22</f>
        <v/>
      </c>
      <c r="B414" s="320">
        <f>'E M MAGDALENA TAGLIAFERRO'!D22</f>
        <v/>
      </c>
    </row>
    <row r="415" ht="15" customHeight="1" s="163">
      <c r="A415" s="319">
        <f>'E M MAGDALENA TAGLIAFERRO'!I23</f>
        <v/>
      </c>
      <c r="B415" s="320">
        <f>'E M MAGDALENA TAGLIAFERRO'!D23</f>
        <v/>
      </c>
    </row>
    <row r="416" ht="15" customHeight="1" s="163">
      <c r="A416" s="319">
        <f>'E M MAGDALENA TAGLIAFERRO'!I24</f>
        <v/>
      </c>
      <c r="B416" s="320">
        <f>'E M MAGDALENA TAGLIAFERRO'!D24</f>
        <v/>
      </c>
    </row>
    <row r="417" ht="15" customHeight="1" s="163">
      <c r="A417" s="319">
        <f>'E M MAGDALENA TAGLIAFERRO'!I25</f>
        <v/>
      </c>
      <c r="B417" s="320">
        <f>'E M MAGDALENA TAGLIAFERRO'!D25</f>
        <v/>
      </c>
    </row>
    <row r="418" ht="15" customHeight="1" s="163">
      <c r="A418" s="319">
        <f>'E M MAGDALENA TAGLIAFERRO'!I26</f>
        <v/>
      </c>
      <c r="B418" s="320">
        <f>'E M MAGDALENA TAGLIAFERRO'!D26</f>
        <v/>
      </c>
    </row>
    <row r="419" ht="15" customHeight="1" s="163">
      <c r="A419" s="319">
        <f>'E M MAGDALENA TAGLIAFERRO'!I27</f>
        <v/>
      </c>
      <c r="B419" s="320">
        <f>'E M MAGDALENA TAGLIAFERRO'!D27</f>
        <v/>
      </c>
    </row>
    <row r="420" ht="15" customHeight="1" s="163">
      <c r="A420" s="319">
        <f>'ESCOLA MUNICIPAL MAJOR JÚLIO FR'!I9</f>
        <v/>
      </c>
      <c r="B420" s="320">
        <f>'ESCOLA MUNICIPAL MAJOR JÚLIO FR'!D9</f>
        <v/>
      </c>
    </row>
    <row r="421" ht="15" customHeight="1" s="163">
      <c r="A421" s="319">
        <f>'ESCOLA MUNICIPAL MAJOR JÚLIO FR'!I10</f>
        <v/>
      </c>
      <c r="B421" s="320">
        <f>'ESCOLA MUNICIPAL MAJOR JÚLIO FR'!D10</f>
        <v/>
      </c>
    </row>
    <row r="422" ht="15" customHeight="1" s="163">
      <c r="A422" s="319">
        <f>'ESCOLA MUNICIPAL MAJOR JÚLIO FR'!I11</f>
        <v/>
      </c>
      <c r="B422" s="320">
        <f>'ESCOLA MUNICIPAL MAJOR JÚLIO FR'!D11</f>
        <v/>
      </c>
    </row>
    <row r="423" ht="15" customHeight="1" s="163">
      <c r="A423" s="319">
        <f>'ESCOLA MUNICIPAL MAJOR JÚLIO FR'!I12</f>
        <v/>
      </c>
      <c r="B423" s="320">
        <f>'ESCOLA MUNICIPAL MAJOR JÚLIO FR'!D12</f>
        <v/>
      </c>
    </row>
    <row r="424" ht="15" customHeight="1" s="163">
      <c r="A424" s="319">
        <f>'ESCOLA MUNICIPAL MAJOR JÚLIO FR'!I13</f>
        <v/>
      </c>
      <c r="B424" s="320">
        <f>'ESCOLA MUNICIPAL MAJOR JÚLIO FR'!D13</f>
        <v/>
      </c>
    </row>
    <row r="425" ht="15" customHeight="1" s="163">
      <c r="A425" s="319">
        <f>'ESCOLA MUNICIPAL MAJOR JÚLIO FR'!I14</f>
        <v/>
      </c>
      <c r="B425" s="320">
        <f>'ESCOLA MUNICIPAL MAJOR JÚLIO FR'!D14</f>
        <v/>
      </c>
    </row>
    <row r="426" ht="15" customHeight="1" s="163">
      <c r="A426" s="319">
        <f>'ESCOLA MUNICIPAL MAJOR JÚLIO FR'!I15</f>
        <v/>
      </c>
      <c r="B426" s="320">
        <f>'ESCOLA MUNICIPAL MAJOR JÚLIO FR'!D15</f>
        <v/>
      </c>
    </row>
    <row r="427" ht="15" customHeight="1" s="163">
      <c r="A427" s="319">
        <f>'ESCOLA MUNICIPAL MAJOR JÚLIO FR'!I16</f>
        <v/>
      </c>
      <c r="B427" s="320">
        <f>'ESCOLA MUNICIPAL MAJOR JÚLIO FR'!D16</f>
        <v/>
      </c>
    </row>
    <row r="428" ht="15" customHeight="1" s="163">
      <c r="A428" s="319">
        <f>'ESCOLA MUNICIPAL MAJOR JÚLIO FR'!I17</f>
        <v/>
      </c>
      <c r="B428" s="320">
        <f>'ESCOLA MUNICIPAL MAJOR JÚLIO FR'!D17</f>
        <v/>
      </c>
    </row>
    <row r="429" ht="15" customHeight="1" s="163">
      <c r="A429" s="319">
        <f>'ESCOLA MUNICIPAL MAJOR JÚLIO FR'!I18</f>
        <v/>
      </c>
      <c r="B429" s="320">
        <f>'ESCOLA MUNICIPAL MAJOR JÚLIO FR'!D18</f>
        <v/>
      </c>
    </row>
    <row r="430" ht="15" customHeight="1" s="163">
      <c r="A430" s="319">
        <f>'ESCOLA MUNICIPAL MAJOR JÚLIO FR'!I19</f>
        <v/>
      </c>
      <c r="B430" s="320">
        <f>'ESCOLA MUNICIPAL MAJOR JÚLIO FR'!D19</f>
        <v/>
      </c>
    </row>
    <row r="431" ht="15" customHeight="1" s="163">
      <c r="A431" s="319">
        <f>'ESCOLA MUNICIPAL MAJOR JÚLIO FR'!I20</f>
        <v/>
      </c>
      <c r="B431" s="320">
        <f>'ESCOLA MUNICIPAL MAJOR JÚLIO FR'!D20</f>
        <v/>
      </c>
    </row>
    <row r="432" ht="15" customHeight="1" s="163">
      <c r="A432" s="319">
        <f>'ESCOLA MUNICIPAL MAJOR JÚLIO FR'!I21</f>
        <v/>
      </c>
      <c r="B432" s="320">
        <f>'ESCOLA MUNICIPAL MAJOR JÚLIO FR'!D21</f>
        <v/>
      </c>
    </row>
    <row r="433" ht="15" customHeight="1" s="163">
      <c r="A433" s="319">
        <f>'ESCOLA MUNICIPAL MAJOR JÚLIO FR'!I22</f>
        <v/>
      </c>
      <c r="B433" s="320">
        <f>'ESCOLA MUNICIPAL MAJOR JÚLIO FR'!D22</f>
        <v/>
      </c>
    </row>
    <row r="434" ht="15" customHeight="1" s="163">
      <c r="A434" s="319">
        <f>'ESCOLA MUNICIPAL MAJOR JÚLIO FR'!I23</f>
        <v/>
      </c>
      <c r="B434" s="320">
        <f>'ESCOLA MUNICIPAL MAJOR JÚLIO FR'!D23</f>
        <v/>
      </c>
    </row>
    <row r="435" ht="15" customHeight="1" s="163">
      <c r="A435" s="319">
        <f>'ESCOLA MUNICIPAL MAJOR JÚLIO FR'!I24</f>
        <v/>
      </c>
      <c r="B435" s="320">
        <f>'ESCOLA MUNICIPAL MAJOR JÚLIO FR'!D24</f>
        <v/>
      </c>
    </row>
    <row r="436" ht="15" customHeight="1" s="163">
      <c r="A436" s="319">
        <f>'ESCOLA MUNICIPAL MAJOR JÚLIO FR'!I25</f>
        <v/>
      </c>
      <c r="B436" s="320">
        <f>'ESCOLA MUNICIPAL MAJOR JÚLIO FR'!D25</f>
        <v/>
      </c>
    </row>
    <row r="437" ht="15" customHeight="1" s="163">
      <c r="A437" s="319">
        <f>'ESCOLA MUNICIPAL MAJOR JÚLIO FR'!I26</f>
        <v/>
      </c>
      <c r="B437" s="320">
        <f>'ESCOLA MUNICIPAL MAJOR JÚLIO FR'!D26</f>
        <v/>
      </c>
    </row>
    <row r="438" ht="15" customHeight="1" s="163">
      <c r="A438" s="319">
        <f>'ESCOLA MUNICIPAL MAJOR JÚLIO FR'!I27</f>
        <v/>
      </c>
      <c r="B438" s="320">
        <f>'ESCOLA MUNICIPAL MAJOR JÚLIO FR'!D27</f>
        <v/>
      </c>
    </row>
    <row r="439" ht="15" customHeight="1" s="163">
      <c r="A439" s="319">
        <f>'E M MARIETA GONÇALVES'!I9</f>
        <v/>
      </c>
      <c r="B439" s="320">
        <f>'E M MARIETA GONÇALVES'!D9</f>
        <v/>
      </c>
    </row>
    <row r="440" ht="15" customHeight="1" s="163">
      <c r="A440" s="319">
        <f>'E M MARIETA GONÇALVES'!I10</f>
        <v/>
      </c>
      <c r="B440" s="320">
        <f>'E M MARIETA GONÇALVES'!D10</f>
        <v/>
      </c>
    </row>
    <row r="441" ht="15" customHeight="1" s="163">
      <c r="A441" s="319">
        <f>'E M MARIETA GONÇALVES'!I11</f>
        <v/>
      </c>
      <c r="B441" s="320">
        <f>'E M MARIETA GONÇALVES'!D11</f>
        <v/>
      </c>
    </row>
    <row r="442" ht="15" customHeight="1" s="163">
      <c r="A442" s="319">
        <f>'E M MARIETA GONÇALVES'!I12</f>
        <v/>
      </c>
      <c r="B442" s="320">
        <f>'E M MARIETA GONÇALVES'!D12</f>
        <v/>
      </c>
    </row>
    <row r="443" ht="15" customHeight="1" s="163">
      <c r="A443" s="319">
        <f>'E M MARIETA GONÇALVES'!I13</f>
        <v/>
      </c>
      <c r="B443" s="320">
        <f>'E M MARIETA GONÇALVES'!D13</f>
        <v/>
      </c>
    </row>
    <row r="444" ht="15" customHeight="1" s="163">
      <c r="A444" s="319">
        <f>'E M MARIETA GONÇALVES'!I14</f>
        <v/>
      </c>
      <c r="B444" s="320">
        <f>'E M MARIETA GONÇALVES'!D14</f>
        <v/>
      </c>
    </row>
    <row r="445" ht="15" customHeight="1" s="163">
      <c r="A445" s="319">
        <f>'E M MARIETA GONÇALVES'!I15</f>
        <v/>
      </c>
      <c r="B445" s="320">
        <f>'E M MARIETA GONÇALVES'!D15</f>
        <v/>
      </c>
    </row>
    <row r="446" ht="15" customHeight="1" s="163">
      <c r="A446" s="319">
        <f>'E M MARIETA GONÇALVES'!I16</f>
        <v/>
      </c>
      <c r="B446" s="320">
        <f>'E M MARIETA GONÇALVES'!D16</f>
        <v/>
      </c>
    </row>
    <row r="447" ht="15" customHeight="1" s="163">
      <c r="A447" s="319">
        <f>'E M MARIETA GONÇALVES'!I17</f>
        <v/>
      </c>
      <c r="B447" s="320">
        <f>'E M MARIETA GONÇALVES'!D17</f>
        <v/>
      </c>
    </row>
    <row r="448" ht="15" customHeight="1" s="163">
      <c r="A448" s="319">
        <f>'E M MARIETA GONÇALVES'!I18</f>
        <v/>
      </c>
      <c r="B448" s="320">
        <f>'E M MARIETA GONÇALVES'!D18</f>
        <v/>
      </c>
    </row>
    <row r="449" ht="15" customHeight="1" s="163">
      <c r="A449" s="319">
        <f>'E M MARIETA GONÇALVES'!I19</f>
        <v/>
      </c>
      <c r="B449" s="320">
        <f>'E M MARIETA GONÇALVES'!D19</f>
        <v/>
      </c>
    </row>
    <row r="450" ht="15" customHeight="1" s="163">
      <c r="A450" s="319">
        <f>'E M MARIETA GONÇALVES'!I20</f>
        <v/>
      </c>
      <c r="B450" s="320">
        <f>'E M MARIETA GONÇALVES'!D20</f>
        <v/>
      </c>
    </row>
    <row r="451" ht="15" customHeight="1" s="163">
      <c r="A451" s="319">
        <f>'E M MARIETA GONÇALVES'!I21</f>
        <v/>
      </c>
      <c r="B451" s="320">
        <f>'E M MARIETA GONÇALVES'!D21</f>
        <v/>
      </c>
    </row>
    <row r="452" ht="15" customHeight="1" s="163">
      <c r="A452" s="319">
        <f>'E M MARIETA GONÇALVES'!I22</f>
        <v/>
      </c>
      <c r="B452" s="320">
        <f>'E M MARIETA GONÇALVES'!D22</f>
        <v/>
      </c>
    </row>
    <row r="453" ht="15" customHeight="1" s="163">
      <c r="A453" s="319">
        <f>'E M MARIETA GONÇALVES'!I23</f>
        <v/>
      </c>
      <c r="B453" s="320">
        <f>'E M MARIETA GONÇALVES'!D23</f>
        <v/>
      </c>
    </row>
    <row r="454" ht="15" customHeight="1" s="163">
      <c r="A454" s="319">
        <f>'E M MARIETA GONÇALVES'!I24</f>
        <v/>
      </c>
      <c r="B454" s="320">
        <f>'E M MARIETA GONÇALVES'!D24</f>
        <v/>
      </c>
    </row>
    <row r="455" ht="15" customHeight="1" s="163">
      <c r="A455" s="319">
        <f>'E M MARIETA GONÇALVES'!I25</f>
        <v/>
      </c>
      <c r="B455" s="320">
        <f>'E M MARIETA GONÇALVES'!D25</f>
        <v/>
      </c>
    </row>
    <row r="456" ht="15" customHeight="1" s="163">
      <c r="A456" s="319">
        <f>'E M MARIETA GONÇALVES'!I26</f>
        <v/>
      </c>
      <c r="B456" s="320">
        <f>'E M MARIETA GONÇALVES'!D26</f>
        <v/>
      </c>
    </row>
    <row r="457" ht="15" customHeight="1" s="163">
      <c r="A457" s="319">
        <f>'E M MARIETA GONÇALVES'!I27</f>
        <v/>
      </c>
      <c r="B457" s="320">
        <f>'E M MARIETA GONÇALVES'!D27</f>
        <v/>
      </c>
    </row>
    <row r="458" ht="15" customHeight="1" s="163">
      <c r="A458" s="319">
        <f>'ESCOLA MUNICIPAL ODETTE YOUNG M'!I9</f>
        <v/>
      </c>
      <c r="B458" s="320">
        <f>'ESCOLA MUNICIPAL ODETTE YOUNG M'!D9</f>
        <v/>
      </c>
    </row>
    <row r="459" ht="15" customHeight="1" s="163">
      <c r="A459" s="319">
        <f>'ESCOLA MUNICIPAL ODETTE YOUNG M'!I10</f>
        <v/>
      </c>
      <c r="B459" s="320">
        <f>'ESCOLA MUNICIPAL ODETTE YOUNG M'!D10</f>
        <v/>
      </c>
    </row>
    <row r="460" ht="15" customHeight="1" s="163">
      <c r="A460" s="319">
        <f>'ESCOLA MUNICIPAL ODETTE YOUNG M'!I11</f>
        <v/>
      </c>
      <c r="B460" s="320">
        <f>'ESCOLA MUNICIPAL ODETTE YOUNG M'!D11</f>
        <v/>
      </c>
    </row>
    <row r="461" ht="15" customHeight="1" s="163">
      <c r="A461" s="319">
        <f>'ESCOLA MUNICIPAL ODETTE YOUNG M'!I12</f>
        <v/>
      </c>
      <c r="B461" s="320">
        <f>'ESCOLA MUNICIPAL ODETTE YOUNG M'!D12</f>
        <v/>
      </c>
    </row>
    <row r="462" ht="15" customHeight="1" s="163">
      <c r="A462" s="319">
        <f>'ESCOLA MUNICIPAL ODETTE YOUNG M'!I13</f>
        <v/>
      </c>
      <c r="B462" s="320">
        <f>'ESCOLA MUNICIPAL ODETTE YOUNG M'!D13</f>
        <v/>
      </c>
    </row>
    <row r="463" ht="15" customHeight="1" s="163">
      <c r="A463" s="319">
        <f>'ESCOLA MUNICIPAL ODETTE YOUNG M'!I14</f>
        <v/>
      </c>
      <c r="B463" s="320">
        <f>'ESCOLA MUNICIPAL ODETTE YOUNG M'!D14</f>
        <v/>
      </c>
    </row>
    <row r="464" ht="15" customHeight="1" s="163">
      <c r="A464" s="319">
        <f>'ESCOLA MUNICIPAL ODETTE YOUNG M'!I15</f>
        <v/>
      </c>
      <c r="B464" s="320">
        <f>'ESCOLA MUNICIPAL ODETTE YOUNG M'!D15</f>
        <v/>
      </c>
    </row>
    <row r="465" ht="15" customHeight="1" s="163">
      <c r="A465" s="319">
        <f>'ESCOLA MUNICIPAL ODETTE YOUNG M'!I16</f>
        <v/>
      </c>
      <c r="B465" s="320">
        <f>'ESCOLA MUNICIPAL ODETTE YOUNG M'!D16</f>
        <v/>
      </c>
    </row>
    <row r="466" ht="15" customHeight="1" s="163">
      <c r="A466" s="319">
        <f>'ESCOLA MUNICIPAL ODETTE YOUNG M'!I17</f>
        <v/>
      </c>
      <c r="B466" s="320">
        <f>'ESCOLA MUNICIPAL ODETTE YOUNG M'!D17</f>
        <v/>
      </c>
    </row>
    <row r="467" ht="15" customHeight="1" s="163">
      <c r="A467" s="319">
        <f>'ESCOLA MUNICIPAL ODETTE YOUNG M'!I18</f>
        <v/>
      </c>
      <c r="B467" s="320">
        <f>'ESCOLA MUNICIPAL ODETTE YOUNG M'!D18</f>
        <v/>
      </c>
    </row>
    <row r="468" ht="15" customHeight="1" s="163">
      <c r="A468" s="319">
        <f>'ESCOLA MUNICIPAL ODETTE YOUNG M'!I19</f>
        <v/>
      </c>
      <c r="B468" s="320">
        <f>'ESCOLA MUNICIPAL ODETTE YOUNG M'!D19</f>
        <v/>
      </c>
    </row>
    <row r="469" ht="15" customHeight="1" s="163">
      <c r="A469" s="319">
        <f>'ESCOLA MUNICIPAL ODETTE YOUNG M'!I20</f>
        <v/>
      </c>
      <c r="B469" s="320">
        <f>'ESCOLA MUNICIPAL ODETTE YOUNG M'!D20</f>
        <v/>
      </c>
    </row>
    <row r="470" ht="15" customHeight="1" s="163">
      <c r="A470" s="319">
        <f>'ESCOLA MUNICIPAL ODETTE YOUNG M'!I21</f>
        <v/>
      </c>
      <c r="B470" s="320">
        <f>'ESCOLA MUNICIPAL ODETTE YOUNG M'!D21</f>
        <v/>
      </c>
    </row>
    <row r="471" ht="15" customHeight="1" s="163">
      <c r="A471" s="319">
        <f>'ESCOLA MUNICIPAL ODETTE YOUNG M'!I22</f>
        <v/>
      </c>
      <c r="B471" s="320">
        <f>'ESCOLA MUNICIPAL ODETTE YOUNG M'!D22</f>
        <v/>
      </c>
    </row>
    <row r="472" ht="15" customHeight="1" s="163">
      <c r="A472" s="319">
        <f>'ESCOLA MUNICIPAL ODETTE YOUNG M'!I23</f>
        <v/>
      </c>
      <c r="B472" s="320">
        <f>'ESCOLA MUNICIPAL ODETTE YOUNG M'!D23</f>
        <v/>
      </c>
    </row>
    <row r="473" ht="15" customHeight="1" s="163">
      <c r="A473" s="319">
        <f>'ESCOLA MUNICIPAL ODETTE YOUNG M'!I24</f>
        <v/>
      </c>
      <c r="B473" s="320">
        <f>'ESCOLA MUNICIPAL ODETTE YOUNG M'!D24</f>
        <v/>
      </c>
    </row>
    <row r="474" ht="15" customHeight="1" s="163">
      <c r="A474" s="319">
        <f>'ESCOLA MUNICIPAL ODETTE YOUNG M'!I25</f>
        <v/>
      </c>
      <c r="B474" s="320">
        <f>'ESCOLA MUNICIPAL ODETTE YOUNG M'!D25</f>
        <v/>
      </c>
    </row>
    <row r="475" ht="15" customHeight="1" s="163">
      <c r="A475" s="319">
        <f>'ESCOLA MUNICIPAL ODETTE YOUNG M'!I26</f>
        <v/>
      </c>
      <c r="B475" s="320">
        <f>'ESCOLA MUNICIPAL ODETTE YOUNG M'!D26</f>
        <v/>
      </c>
    </row>
    <row r="476" ht="15" customHeight="1" s="163">
      <c r="A476" s="319">
        <f>'ESCOLA MUNICIPAL ODETTE YOUNG M'!I27</f>
        <v/>
      </c>
      <c r="B476" s="320">
        <f>'ESCOLA MUNICIPAL ODETTE YOUNG M'!D27</f>
        <v/>
      </c>
    </row>
    <row r="477" ht="15" customHeight="1" s="163">
      <c r="A477" s="319">
        <f>'E M FÁBRICA DO SABER'!I9</f>
        <v/>
      </c>
      <c r="B477" s="320">
        <f>'E M FÁBRICA DO SABER'!D9</f>
        <v/>
      </c>
    </row>
    <row r="478" ht="15" customHeight="1" s="163">
      <c r="A478" s="319">
        <f>'E M FÁBRICA DO SABER'!I10</f>
        <v/>
      </c>
      <c r="B478" s="320">
        <f>'E M FÁBRICA DO SABER'!D10</f>
        <v/>
      </c>
    </row>
    <row r="479" ht="15" customHeight="1" s="163">
      <c r="A479" s="319">
        <f>'E M FÁBRICA DO SABER'!I11</f>
        <v/>
      </c>
      <c r="B479" s="320">
        <f>'E M FÁBRICA DO SABER'!D11</f>
        <v/>
      </c>
    </row>
    <row r="480" ht="15" customHeight="1" s="163">
      <c r="A480" s="319">
        <f>'E M FÁBRICA DO SABER'!I12</f>
        <v/>
      </c>
      <c r="B480" s="320">
        <f>'E M FÁBRICA DO SABER'!D12</f>
        <v/>
      </c>
    </row>
    <row r="481" ht="15" customHeight="1" s="163">
      <c r="A481" s="319">
        <f>'E M FÁBRICA DO SABER'!I13</f>
        <v/>
      </c>
      <c r="B481" s="320">
        <f>'E M FÁBRICA DO SABER'!D13</f>
        <v/>
      </c>
    </row>
    <row r="482" ht="15" customHeight="1" s="163">
      <c r="A482" s="319">
        <f>'E M FÁBRICA DO SABER'!I14</f>
        <v/>
      </c>
      <c r="B482" s="320">
        <f>'E M FÁBRICA DO SABER'!D14</f>
        <v/>
      </c>
    </row>
    <row r="483" ht="15" customHeight="1" s="163">
      <c r="A483" s="319">
        <f>'E M FÁBRICA DO SABER'!I15</f>
        <v/>
      </c>
      <c r="B483" s="320">
        <f>'E M FÁBRICA DO SABER'!D15</f>
        <v/>
      </c>
    </row>
    <row r="484" ht="15" customHeight="1" s="163">
      <c r="A484" s="319">
        <f>'E M FÁBRICA DO SABER'!I16</f>
        <v/>
      </c>
      <c r="B484" s="320">
        <f>'E M FÁBRICA DO SABER'!D16</f>
        <v/>
      </c>
    </row>
    <row r="485" ht="15" customHeight="1" s="163">
      <c r="A485" s="319">
        <f>'E M FÁBRICA DO SABER'!I17</f>
        <v/>
      </c>
      <c r="B485" s="320">
        <f>'E M FÁBRICA DO SABER'!D17</f>
        <v/>
      </c>
    </row>
    <row r="486" ht="15" customHeight="1" s="163">
      <c r="A486" s="319">
        <f>'E M FÁBRICA DO SABER'!I18</f>
        <v/>
      </c>
      <c r="B486" s="320">
        <f>'E M FÁBRICA DO SABER'!D18</f>
        <v/>
      </c>
    </row>
    <row r="487" ht="15" customHeight="1" s="163">
      <c r="A487" s="319">
        <f>'E M FÁBRICA DO SABER'!I19</f>
        <v/>
      </c>
      <c r="B487" s="320">
        <f>'E M FÁBRICA DO SABER'!D19</f>
        <v/>
      </c>
    </row>
    <row r="488" ht="15" customHeight="1" s="163">
      <c r="A488" s="319">
        <f>'E M FÁBRICA DO SABER'!I20</f>
        <v/>
      </c>
      <c r="B488" s="320">
        <f>'E M FÁBRICA DO SABER'!D20</f>
        <v/>
      </c>
    </row>
    <row r="489" ht="15" customHeight="1" s="163">
      <c r="A489" s="319">
        <f>'E M FÁBRICA DO SABER'!I21</f>
        <v/>
      </c>
      <c r="B489" s="320">
        <f>'E M FÁBRICA DO SABER'!D21</f>
        <v/>
      </c>
    </row>
    <row r="490" ht="15" customHeight="1" s="163">
      <c r="A490" s="319">
        <f>'E M FÁBRICA DO SABER'!I22</f>
        <v/>
      </c>
      <c r="B490" s="320">
        <f>'E M FÁBRICA DO SABER'!D22</f>
        <v/>
      </c>
    </row>
    <row r="491" ht="15" customHeight="1" s="163">
      <c r="A491" s="319">
        <f>'E M FÁBRICA DO SABER'!I23</f>
        <v/>
      </c>
      <c r="B491" s="320">
        <f>'E M FÁBRICA DO SABER'!D23</f>
        <v/>
      </c>
    </row>
    <row r="492" ht="15" customHeight="1" s="163">
      <c r="A492" s="319">
        <f>'E M FÁBRICA DO SABER'!I24</f>
        <v/>
      </c>
      <c r="B492" s="320">
        <f>'E M FÁBRICA DO SABER'!D24</f>
        <v/>
      </c>
    </row>
    <row r="493" ht="15" customHeight="1" s="163">
      <c r="A493" s="319">
        <f>'E M FÁBRICA DO SABER'!I25</f>
        <v/>
      </c>
      <c r="B493" s="320">
        <f>'E M FÁBRICA DO SABER'!D25</f>
        <v/>
      </c>
    </row>
    <row r="494" ht="15" customHeight="1" s="163">
      <c r="A494" s="319">
        <f>'E M FÁBRICA DO SABER'!I26</f>
        <v/>
      </c>
      <c r="B494" s="320">
        <f>'E M FÁBRICA DO SABER'!D26</f>
        <v/>
      </c>
    </row>
    <row r="495" ht="15" customHeight="1" s="163">
      <c r="A495" s="319">
        <f>'E M FÁBRICA DO SABER'!I27</f>
        <v/>
      </c>
      <c r="B495" s="320">
        <f>'E M FÁBRICA DO SABER'!D27</f>
        <v/>
      </c>
    </row>
    <row r="496" ht="15" customHeight="1" s="163">
      <c r="A496" s="319">
        <f>'ESCOLA MUNICIPAL PROFESSOR PAUL'!I9</f>
        <v/>
      </c>
      <c r="B496" s="320">
        <f>'ESCOLA MUNICIPAL PROFESSOR PAUL'!D9</f>
        <v/>
      </c>
    </row>
    <row r="497" ht="15" customHeight="1" s="163">
      <c r="A497" s="319">
        <f>'ESCOLA MUNICIPAL PROFESSOR PAUL'!I10</f>
        <v/>
      </c>
      <c r="B497" s="320">
        <f>'ESCOLA MUNICIPAL PROFESSOR PAUL'!D10</f>
        <v/>
      </c>
    </row>
    <row r="498" ht="15" customHeight="1" s="163">
      <c r="A498" s="319">
        <f>'ESCOLA MUNICIPAL PROFESSOR PAUL'!I11</f>
        <v/>
      </c>
      <c r="B498" s="320">
        <f>'ESCOLA MUNICIPAL PROFESSOR PAUL'!D11</f>
        <v/>
      </c>
    </row>
    <row r="499" ht="15" customHeight="1" s="163">
      <c r="A499" s="319">
        <f>'ESCOLA MUNICIPAL PROFESSOR PAUL'!I12</f>
        <v/>
      </c>
      <c r="B499" s="320">
        <f>'ESCOLA MUNICIPAL PROFESSOR PAUL'!D12</f>
        <v/>
      </c>
    </row>
    <row r="500" ht="15" customHeight="1" s="163">
      <c r="A500" s="319">
        <f>'ESCOLA MUNICIPAL PROFESSOR PAUL'!I13</f>
        <v/>
      </c>
      <c r="B500" s="320">
        <f>'ESCOLA MUNICIPAL PROFESSOR PAUL'!D13</f>
        <v/>
      </c>
    </row>
    <row r="501" ht="15" customHeight="1" s="163">
      <c r="A501" s="319">
        <f>'ESCOLA MUNICIPAL PROFESSOR PAUL'!I14</f>
        <v/>
      </c>
      <c r="B501" s="320">
        <f>'ESCOLA MUNICIPAL PROFESSOR PAUL'!D14</f>
        <v/>
      </c>
    </row>
    <row r="502" ht="15" customHeight="1" s="163">
      <c r="A502" s="319">
        <f>'ESCOLA MUNICIPAL PROFESSOR PAUL'!I15</f>
        <v/>
      </c>
      <c r="B502" s="320">
        <f>'ESCOLA MUNICIPAL PROFESSOR PAUL'!D15</f>
        <v/>
      </c>
    </row>
    <row r="503" ht="15" customHeight="1" s="163">
      <c r="A503" s="319">
        <f>'ESCOLA MUNICIPAL PROFESSOR PAUL'!I16</f>
        <v/>
      </c>
      <c r="B503" s="320">
        <f>'ESCOLA MUNICIPAL PROFESSOR PAUL'!D16</f>
        <v/>
      </c>
    </row>
    <row r="504" ht="15" customHeight="1" s="163">
      <c r="A504" s="319">
        <f>'ESCOLA MUNICIPAL PROFESSOR PAUL'!I17</f>
        <v/>
      </c>
      <c r="B504" s="320">
        <f>'ESCOLA MUNICIPAL PROFESSOR PAUL'!D17</f>
        <v/>
      </c>
    </row>
    <row r="505" ht="15" customHeight="1" s="163">
      <c r="A505" s="319">
        <f>'ESCOLA MUNICIPAL PROFESSOR PAUL'!I18</f>
        <v/>
      </c>
      <c r="B505" s="320">
        <f>'ESCOLA MUNICIPAL PROFESSOR PAUL'!D18</f>
        <v/>
      </c>
    </row>
    <row r="506" ht="15" customHeight="1" s="163">
      <c r="A506" s="319">
        <f>'ESCOLA MUNICIPAL PROFESSOR PAUL'!I19</f>
        <v/>
      </c>
      <c r="B506" s="320">
        <f>'ESCOLA MUNICIPAL PROFESSOR PAUL'!D19</f>
        <v/>
      </c>
    </row>
    <row r="507" ht="15" customHeight="1" s="163">
      <c r="A507" s="319">
        <f>'ESCOLA MUNICIPAL PROFESSOR PAUL'!I20</f>
        <v/>
      </c>
      <c r="B507" s="320">
        <f>'ESCOLA MUNICIPAL PROFESSOR PAUL'!D20</f>
        <v/>
      </c>
    </row>
    <row r="508" ht="15" customHeight="1" s="163">
      <c r="A508" s="319">
        <f>'ESCOLA MUNICIPAL PROFESSOR PAUL'!I21</f>
        <v/>
      </c>
      <c r="B508" s="320">
        <f>'ESCOLA MUNICIPAL PROFESSOR PAUL'!D21</f>
        <v/>
      </c>
    </row>
    <row r="509" ht="15" customHeight="1" s="163">
      <c r="A509" s="319">
        <f>'ESCOLA MUNICIPAL PROFESSOR PAUL'!I22</f>
        <v/>
      </c>
      <c r="B509" s="320">
        <f>'ESCOLA MUNICIPAL PROFESSOR PAUL'!D22</f>
        <v/>
      </c>
    </row>
    <row r="510" ht="15" customHeight="1" s="163">
      <c r="A510" s="319">
        <f>'ESCOLA MUNICIPAL PROFESSOR PAUL'!I23</f>
        <v/>
      </c>
      <c r="B510" s="320">
        <f>'ESCOLA MUNICIPAL PROFESSOR PAUL'!D23</f>
        <v/>
      </c>
    </row>
    <row r="511" ht="15" customHeight="1" s="163">
      <c r="A511" s="319">
        <f>'ESCOLA MUNICIPAL PROFESSOR PAUL'!I24</f>
        <v/>
      </c>
      <c r="B511" s="320">
        <f>'ESCOLA MUNICIPAL PROFESSOR PAUL'!D24</f>
        <v/>
      </c>
    </row>
    <row r="512" ht="15" customHeight="1" s="163">
      <c r="A512" s="319">
        <f>'ESCOLA MUNICIPAL PROFESSOR PAUL'!I25</f>
        <v/>
      </c>
      <c r="B512" s="320">
        <f>'ESCOLA MUNICIPAL PROFESSOR PAUL'!D25</f>
        <v/>
      </c>
    </row>
    <row r="513" ht="15" customHeight="1" s="163">
      <c r="A513" s="319">
        <f>'ESCOLA MUNICIPAL PROFESSOR PAUL'!I26</f>
        <v/>
      </c>
      <c r="B513" s="320">
        <f>'ESCOLA MUNICIPAL PROFESSOR PAUL'!D26</f>
        <v/>
      </c>
    </row>
    <row r="514" ht="15" customHeight="1" s="163">
      <c r="A514" s="319">
        <f>'ESCOLA MUNICIPAL PROFESSOR PAUL'!I27</f>
        <v/>
      </c>
      <c r="B514" s="320">
        <f>'ESCOLA MUNICIPAL PROFESSOR PAUL'!D27</f>
        <v/>
      </c>
    </row>
    <row r="515" ht="15" customHeight="1" s="163">
      <c r="A515" s="319">
        <f>'E M ROSEMIRA DE OLIVEIRA CAVALC'!I9</f>
        <v/>
      </c>
      <c r="B515" s="320">
        <f>'E M ROSEMIRA DE OLIVEIRA CAVALC'!D9</f>
        <v/>
      </c>
    </row>
    <row r="516" ht="15" customHeight="1" s="163">
      <c r="A516" s="319">
        <f>'E M ROSEMIRA DE OLIVEIRA CAVALC'!I10</f>
        <v/>
      </c>
      <c r="B516" s="320">
        <f>'E M ROSEMIRA DE OLIVEIRA CAVALC'!D10</f>
        <v/>
      </c>
    </row>
    <row r="517" ht="15" customHeight="1" s="163">
      <c r="A517" s="319">
        <f>'E M ROSEMIRA DE OLIVEIRA CAVALC'!I11</f>
        <v/>
      </c>
      <c r="B517" s="320">
        <f>'E M ROSEMIRA DE OLIVEIRA CAVALC'!D11</f>
        <v/>
      </c>
    </row>
    <row r="518" ht="15" customHeight="1" s="163">
      <c r="A518" s="319">
        <f>'E M ROSEMIRA DE OLIVEIRA CAVALC'!I12</f>
        <v/>
      </c>
      <c r="B518" s="320">
        <f>'E M ROSEMIRA DE OLIVEIRA CAVALC'!D12</f>
        <v/>
      </c>
    </row>
    <row r="519" ht="15" customHeight="1" s="163">
      <c r="A519" s="319">
        <f>'E M ROSEMIRA DE OLIVEIRA CAVALC'!I13</f>
        <v/>
      </c>
      <c r="B519" s="320">
        <f>'E M ROSEMIRA DE OLIVEIRA CAVALC'!D13</f>
        <v/>
      </c>
    </row>
    <row r="520" ht="15" customHeight="1" s="163">
      <c r="A520" s="319">
        <f>'E M ROSEMIRA DE OLIVEIRA CAVALC'!I14</f>
        <v/>
      </c>
      <c r="B520" s="320">
        <f>'E M ROSEMIRA DE OLIVEIRA CAVALC'!D14</f>
        <v/>
      </c>
    </row>
    <row r="521" ht="15" customHeight="1" s="163">
      <c r="A521" s="319">
        <f>'E M ROSEMIRA DE OLIVEIRA CAVALC'!I15</f>
        <v/>
      </c>
      <c r="B521" s="320">
        <f>'E M ROSEMIRA DE OLIVEIRA CAVALC'!D15</f>
        <v/>
      </c>
    </row>
    <row r="522" ht="15" customHeight="1" s="163">
      <c r="A522" s="319">
        <f>'E M ROSEMIRA DE OLIVEIRA CAVALC'!I16</f>
        <v/>
      </c>
      <c r="B522" s="320">
        <f>'E M ROSEMIRA DE OLIVEIRA CAVALC'!D16</f>
        <v/>
      </c>
    </row>
    <row r="523" ht="15" customHeight="1" s="163">
      <c r="A523" s="319">
        <f>'E M ROSEMIRA DE OLIVEIRA CAVALC'!I17</f>
        <v/>
      </c>
      <c r="B523" s="320">
        <f>'E M ROSEMIRA DE OLIVEIRA CAVALC'!D17</f>
        <v/>
      </c>
    </row>
    <row r="524" ht="15" customHeight="1" s="163">
      <c r="A524" s="319">
        <f>'E M ROSEMIRA DE OLIVEIRA CAVALC'!I18</f>
        <v/>
      </c>
      <c r="B524" s="320">
        <f>'E M ROSEMIRA DE OLIVEIRA CAVALC'!D18</f>
        <v/>
      </c>
    </row>
    <row r="525" ht="15" customHeight="1" s="163">
      <c r="A525" s="319">
        <f>'E M ROSEMIRA DE OLIVEIRA CAVALC'!I19</f>
        <v/>
      </c>
      <c r="B525" s="320">
        <f>'E M ROSEMIRA DE OLIVEIRA CAVALC'!D19</f>
        <v/>
      </c>
    </row>
    <row r="526" ht="15" customHeight="1" s="163">
      <c r="A526" s="319">
        <f>'E M ROSEMIRA DE OLIVEIRA CAVALC'!I20</f>
        <v/>
      </c>
      <c r="B526" s="320">
        <f>'E M ROSEMIRA DE OLIVEIRA CAVALC'!D20</f>
        <v/>
      </c>
    </row>
    <row r="527" ht="15" customHeight="1" s="163">
      <c r="A527" s="319">
        <f>'E M ROSEMIRA DE OLIVEIRA CAVALC'!I21</f>
        <v/>
      </c>
      <c r="B527" s="320">
        <f>'E M ROSEMIRA DE OLIVEIRA CAVALC'!D21</f>
        <v/>
      </c>
    </row>
    <row r="528" ht="15" customHeight="1" s="163">
      <c r="A528" s="319">
        <f>'E M ROSEMIRA DE OLIVEIRA CAVALC'!I22</f>
        <v/>
      </c>
      <c r="B528" s="320">
        <f>'E M ROSEMIRA DE OLIVEIRA CAVALC'!D22</f>
        <v/>
      </c>
    </row>
    <row r="529" ht="15" customHeight="1" s="163">
      <c r="A529" s="319">
        <f>'E M ROSEMIRA DE OLIVEIRA CAVALC'!I23</f>
        <v/>
      </c>
      <c r="B529" s="320">
        <f>'E M ROSEMIRA DE OLIVEIRA CAVALC'!D23</f>
        <v/>
      </c>
    </row>
    <row r="530" ht="15" customHeight="1" s="163">
      <c r="A530" s="319">
        <f>'E M ROSEMIRA DE OLIVEIRA CAVALC'!I24</f>
        <v/>
      </c>
      <c r="B530" s="320">
        <f>'E M ROSEMIRA DE OLIVEIRA CAVALC'!D24</f>
        <v/>
      </c>
    </row>
    <row r="531" ht="15" customHeight="1" s="163">
      <c r="A531" s="319">
        <f>'E M ROSEMIRA DE OLIVEIRA CAVALC'!I25</f>
        <v/>
      </c>
      <c r="B531" s="320">
        <f>'E M ROSEMIRA DE OLIVEIRA CAVALC'!D25</f>
        <v/>
      </c>
    </row>
    <row r="532" ht="15" customHeight="1" s="163">
      <c r="A532" s="319">
        <f>'E M ROSEMIRA DE OLIVEIRA CAVALC'!I26</f>
        <v/>
      </c>
      <c r="B532" s="320">
        <f>'E M ROSEMIRA DE OLIVEIRA CAVALC'!D26</f>
        <v/>
      </c>
    </row>
    <row r="533" ht="15" customHeight="1" s="163">
      <c r="A533" s="319">
        <f>'E M ROSEMIRA DE OLIVEIRA CAVALC'!I27</f>
        <v/>
      </c>
      <c r="B533" s="320">
        <f>'E M ROSEMIRA DE OLIVEIRA CAVALC'!D27</f>
        <v/>
      </c>
    </row>
    <row r="534" ht="15" customHeight="1" s="163">
      <c r="A534" s="319">
        <f>'E M AMÉLIA ANTUNES RABELLO'!I9</f>
        <v/>
      </c>
      <c r="B534" s="320">
        <f>'E M AMÉLIA ANTUNES RABELLO'!D9</f>
        <v/>
      </c>
    </row>
    <row r="535" ht="15" customHeight="1" s="163">
      <c r="A535" s="319">
        <f>'E M AMÉLIA ANTUNES RABELLO'!I10</f>
        <v/>
      </c>
      <c r="B535" s="320">
        <f>'E M AMÉLIA ANTUNES RABELLO'!D10</f>
        <v/>
      </c>
    </row>
    <row r="536" ht="15" customHeight="1" s="163">
      <c r="A536" s="319">
        <f>'E M AMÉLIA ANTUNES RABELLO'!I11</f>
        <v/>
      </c>
      <c r="B536" s="320">
        <f>'E M AMÉLIA ANTUNES RABELLO'!D11</f>
        <v/>
      </c>
    </row>
    <row r="537" ht="15" customHeight="1" s="163">
      <c r="A537" s="319">
        <f>'E M AMÉLIA ANTUNES RABELLO'!I12</f>
        <v/>
      </c>
      <c r="B537" s="320">
        <f>'E M AMÉLIA ANTUNES RABELLO'!D12</f>
        <v/>
      </c>
    </row>
    <row r="538" ht="15" customHeight="1" s="163">
      <c r="A538" s="319">
        <f>'E M AMÉLIA ANTUNES RABELLO'!I13</f>
        <v/>
      </c>
      <c r="B538" s="320">
        <f>'E M AMÉLIA ANTUNES RABELLO'!D13</f>
        <v/>
      </c>
    </row>
    <row r="539" ht="15" customHeight="1" s="163">
      <c r="A539" s="319">
        <f>'E M AMÉLIA ANTUNES RABELLO'!I14</f>
        <v/>
      </c>
      <c r="B539" s="320">
        <f>'E M AMÉLIA ANTUNES RABELLO'!D14</f>
        <v/>
      </c>
    </row>
    <row r="540" ht="15" customHeight="1" s="163">
      <c r="A540" s="319">
        <f>'E M AMÉLIA ANTUNES RABELLO'!I15</f>
        <v/>
      </c>
      <c r="B540" s="320">
        <f>'E M AMÉLIA ANTUNES RABELLO'!D15</f>
        <v/>
      </c>
    </row>
    <row r="541" ht="15" customHeight="1" s="163">
      <c r="A541" s="319">
        <f>'E M AMÉLIA ANTUNES RABELLO'!I16</f>
        <v/>
      </c>
      <c r="B541" s="320">
        <f>'E M AMÉLIA ANTUNES RABELLO'!D16</f>
        <v/>
      </c>
    </row>
    <row r="542" ht="15" customHeight="1" s="163">
      <c r="A542" s="319">
        <f>'E M AMÉLIA ANTUNES RABELLO'!I17</f>
        <v/>
      </c>
      <c r="B542" s="320">
        <f>'E M AMÉLIA ANTUNES RABELLO'!D17</f>
        <v/>
      </c>
    </row>
    <row r="543" ht="15" customHeight="1" s="163">
      <c r="A543" s="319">
        <f>'E M AMÉLIA ANTUNES RABELLO'!I18</f>
        <v/>
      </c>
      <c r="B543" s="320">
        <f>'E M AMÉLIA ANTUNES RABELLO'!D18</f>
        <v/>
      </c>
    </row>
    <row r="544" ht="15" customHeight="1" s="163">
      <c r="A544" s="319">
        <f>'E M AMÉLIA ANTUNES RABELLO'!I19</f>
        <v/>
      </c>
      <c r="B544" s="320">
        <f>'E M AMÉLIA ANTUNES RABELLO'!D19</f>
        <v/>
      </c>
    </row>
    <row r="545" ht="15" customHeight="1" s="163">
      <c r="A545" s="319">
        <f>'E M AMÉLIA ANTUNES RABELLO'!I20</f>
        <v/>
      </c>
      <c r="B545" s="320">
        <f>'E M AMÉLIA ANTUNES RABELLO'!D20</f>
        <v/>
      </c>
    </row>
    <row r="546" ht="15" customHeight="1" s="163">
      <c r="A546" s="319">
        <f>'E M AMÉLIA ANTUNES RABELLO'!I21</f>
        <v/>
      </c>
      <c r="B546" s="320">
        <f>'E M AMÉLIA ANTUNES RABELLO'!D21</f>
        <v/>
      </c>
    </row>
    <row r="547" ht="15" customHeight="1" s="163">
      <c r="A547" s="319">
        <f>'E M AMÉLIA ANTUNES RABELLO'!I22</f>
        <v/>
      </c>
      <c r="B547" s="320">
        <f>'E M AMÉLIA ANTUNES RABELLO'!D22</f>
        <v/>
      </c>
    </row>
    <row r="548" ht="15" customHeight="1" s="163">
      <c r="A548" s="319">
        <f>'E M AMÉLIA ANTUNES RABELLO'!I23</f>
        <v/>
      </c>
      <c r="B548" s="320">
        <f>'E M AMÉLIA ANTUNES RABELLO'!D23</f>
        <v/>
      </c>
    </row>
    <row r="549" ht="15" customHeight="1" s="163">
      <c r="A549" s="319">
        <f>'E M AMÉLIA ANTUNES RABELLO'!I24</f>
        <v/>
      </c>
      <c r="B549" s="320">
        <f>'E M AMÉLIA ANTUNES RABELLO'!D24</f>
        <v/>
      </c>
    </row>
    <row r="550" ht="15" customHeight="1" s="163">
      <c r="A550" s="319">
        <f>'E M AMÉLIA ANTUNES RABELLO'!I25</f>
        <v/>
      </c>
      <c r="B550" s="320">
        <f>'E M AMÉLIA ANTUNES RABELLO'!D25</f>
        <v/>
      </c>
    </row>
    <row r="551" ht="15" customHeight="1" s="163">
      <c r="A551" s="319">
        <f>'E M AMÉLIA ANTUNES RABELLO'!I26</f>
        <v/>
      </c>
      <c r="B551" s="320">
        <f>'E M AMÉLIA ANTUNES RABELLO'!D26</f>
        <v/>
      </c>
    </row>
    <row r="552" ht="15" customHeight="1" s="163">
      <c r="A552" s="319">
        <f>'E M AMÉLIA ANTUNES RABELLO'!I27</f>
        <v/>
      </c>
      <c r="B552" s="320">
        <f>'E M AMÉLIA ANTUNES RABELLO'!D27</f>
        <v/>
      </c>
    </row>
    <row r="553" ht="15" customHeight="1" s="163">
      <c r="A553" s="319">
        <f>'ESCOLA MUNICIPAL AUGUSTO PUGNAL'!I9</f>
        <v/>
      </c>
      <c r="B553" s="320">
        <f>'ESCOLA MUNICIPAL AUGUSTO PUGNAL'!D9</f>
        <v/>
      </c>
    </row>
    <row r="554" ht="15" customHeight="1" s="163">
      <c r="A554" s="319">
        <f>'ESCOLA MUNICIPAL AUGUSTO PUGNAL'!I10</f>
        <v/>
      </c>
      <c r="B554" s="320">
        <f>'ESCOLA MUNICIPAL AUGUSTO PUGNAL'!D10</f>
        <v/>
      </c>
    </row>
    <row r="555" ht="15" customHeight="1" s="163">
      <c r="A555" s="319">
        <f>'ESCOLA MUNICIPAL AUGUSTO PUGNAL'!I11</f>
        <v/>
      </c>
      <c r="B555" s="320">
        <f>'ESCOLA MUNICIPAL AUGUSTO PUGNAL'!D11</f>
        <v/>
      </c>
    </row>
    <row r="556" ht="15" customHeight="1" s="163">
      <c r="A556" s="319">
        <f>'ESCOLA MUNICIPAL AUGUSTO PUGNAL'!I12</f>
        <v/>
      </c>
      <c r="B556" s="320">
        <f>'ESCOLA MUNICIPAL AUGUSTO PUGNAL'!D12</f>
        <v/>
      </c>
    </row>
    <row r="557" ht="15" customHeight="1" s="163">
      <c r="A557" s="319">
        <f>'ESCOLA MUNICIPAL AUGUSTO PUGNAL'!I13</f>
        <v/>
      </c>
      <c r="B557" s="320">
        <f>'ESCOLA MUNICIPAL AUGUSTO PUGNAL'!D13</f>
        <v/>
      </c>
    </row>
    <row r="558" ht="15" customHeight="1" s="163">
      <c r="A558" s="319">
        <f>'ESCOLA MUNICIPAL AUGUSTO PUGNAL'!I14</f>
        <v/>
      </c>
      <c r="B558" s="320">
        <f>'ESCOLA MUNICIPAL AUGUSTO PUGNAL'!D14</f>
        <v/>
      </c>
    </row>
    <row r="559" ht="15" customHeight="1" s="163">
      <c r="A559" s="319">
        <f>'ESCOLA MUNICIPAL AUGUSTO PUGNAL'!I15</f>
        <v/>
      </c>
      <c r="B559" s="320">
        <f>'ESCOLA MUNICIPAL AUGUSTO PUGNAL'!D15</f>
        <v/>
      </c>
    </row>
    <row r="560" ht="15" customHeight="1" s="163">
      <c r="A560" s="319">
        <f>'ESCOLA MUNICIPAL AUGUSTO PUGNAL'!I16</f>
        <v/>
      </c>
      <c r="B560" s="320">
        <f>'ESCOLA MUNICIPAL AUGUSTO PUGNAL'!D16</f>
        <v/>
      </c>
    </row>
    <row r="561" ht="15" customHeight="1" s="163">
      <c r="A561" s="319">
        <f>'ESCOLA MUNICIPAL AUGUSTO PUGNAL'!I17</f>
        <v/>
      </c>
      <c r="B561" s="320">
        <f>'ESCOLA MUNICIPAL AUGUSTO PUGNAL'!D17</f>
        <v/>
      </c>
    </row>
    <row r="562" ht="15" customHeight="1" s="163">
      <c r="A562" s="319">
        <f>'ESCOLA MUNICIPAL AUGUSTO PUGNAL'!I18</f>
        <v/>
      </c>
      <c r="B562" s="320">
        <f>'ESCOLA MUNICIPAL AUGUSTO PUGNAL'!D18</f>
        <v/>
      </c>
    </row>
    <row r="563" ht="15" customHeight="1" s="163">
      <c r="A563" s="319">
        <f>'ESCOLA MUNICIPAL AUGUSTO PUGNAL'!I19</f>
        <v/>
      </c>
      <c r="B563" s="320">
        <f>'ESCOLA MUNICIPAL AUGUSTO PUGNAL'!D19</f>
        <v/>
      </c>
    </row>
    <row r="564" ht="15" customHeight="1" s="163">
      <c r="A564" s="319">
        <f>'ESCOLA MUNICIPAL AUGUSTO PUGNAL'!I20</f>
        <v/>
      </c>
      <c r="B564" s="320">
        <f>'ESCOLA MUNICIPAL AUGUSTO PUGNAL'!D20</f>
        <v/>
      </c>
    </row>
    <row r="565" ht="15" customHeight="1" s="163">
      <c r="A565" s="319">
        <f>'ESCOLA MUNICIPAL AUGUSTO PUGNAL'!I21</f>
        <v/>
      </c>
      <c r="B565" s="320">
        <f>'ESCOLA MUNICIPAL AUGUSTO PUGNAL'!D21</f>
        <v/>
      </c>
    </row>
    <row r="566" ht="15" customHeight="1" s="163">
      <c r="A566" s="319">
        <f>'ESCOLA MUNICIPAL AUGUSTO PUGNAL'!I22</f>
        <v/>
      </c>
      <c r="B566" s="320">
        <f>'ESCOLA MUNICIPAL AUGUSTO PUGNAL'!D22</f>
        <v/>
      </c>
    </row>
    <row r="567" ht="15" customHeight="1" s="163">
      <c r="A567" s="319">
        <f>'ESCOLA MUNICIPAL AUGUSTO PUGNAL'!I23</f>
        <v/>
      </c>
      <c r="B567" s="320">
        <f>'ESCOLA MUNICIPAL AUGUSTO PUGNAL'!D23</f>
        <v/>
      </c>
    </row>
    <row r="568" ht="15" customHeight="1" s="163">
      <c r="A568" s="319">
        <f>'ESCOLA MUNICIPAL AUGUSTO PUGNAL'!I24</f>
        <v/>
      </c>
      <c r="B568" s="320">
        <f>'ESCOLA MUNICIPAL AUGUSTO PUGNAL'!D24</f>
        <v/>
      </c>
    </row>
    <row r="569" ht="15" customHeight="1" s="163">
      <c r="A569" s="319">
        <f>'ESCOLA MUNICIPAL AUGUSTO PUGNAL'!I25</f>
        <v/>
      </c>
      <c r="B569" s="320">
        <f>'ESCOLA MUNICIPAL AUGUSTO PUGNAL'!D25</f>
        <v/>
      </c>
    </row>
    <row r="570" ht="15" customHeight="1" s="163">
      <c r="A570" s="319">
        <f>'ESCOLA MUNICIPAL AUGUSTO PUGNAL'!I26</f>
        <v/>
      </c>
      <c r="B570" s="320">
        <f>'ESCOLA MUNICIPAL AUGUSTO PUGNAL'!D26</f>
        <v/>
      </c>
    </row>
    <row r="571" ht="15" customHeight="1" s="163">
      <c r="A571" s="319">
        <f>'ESCOLA MUNICIPAL AUGUSTO PUGNAL'!I27</f>
        <v/>
      </c>
      <c r="B571" s="320">
        <f>'ESCOLA MUNICIPAL AUGUSTO PUGNAL'!D27</f>
        <v/>
      </c>
    </row>
    <row r="572" ht="15" customHeight="1" s="163">
      <c r="A572" s="319">
        <f>'ESCOLA MUNICIPAL CELINA SCHECHN'!I9</f>
        <v/>
      </c>
      <c r="B572" s="320">
        <f>'ESCOLA MUNICIPAL CELINA SCHECHN'!D9</f>
        <v/>
      </c>
    </row>
    <row r="573" ht="15" customHeight="1" s="163">
      <c r="A573" s="319">
        <f>'ESCOLA MUNICIPAL CELINA SCHECHN'!I10</f>
        <v/>
      </c>
      <c r="B573" s="320">
        <f>'ESCOLA MUNICIPAL CELINA SCHECHN'!D10</f>
        <v/>
      </c>
    </row>
    <row r="574" ht="15" customHeight="1" s="163">
      <c r="A574" s="319">
        <f>'ESCOLA MUNICIPAL CELINA SCHECHN'!I11</f>
        <v/>
      </c>
      <c r="B574" s="320">
        <f>'ESCOLA MUNICIPAL CELINA SCHECHN'!D11</f>
        <v/>
      </c>
    </row>
    <row r="575" ht="15" customHeight="1" s="163">
      <c r="A575" s="319">
        <f>'ESCOLA MUNICIPAL CELINA SCHECHN'!I12</f>
        <v/>
      </c>
      <c r="B575" s="320">
        <f>'ESCOLA MUNICIPAL CELINA SCHECHN'!D12</f>
        <v/>
      </c>
    </row>
    <row r="576" ht="15" customHeight="1" s="163">
      <c r="A576" s="319">
        <f>'ESCOLA MUNICIPAL CELINA SCHECHN'!I13</f>
        <v/>
      </c>
      <c r="B576" s="320">
        <f>'ESCOLA MUNICIPAL CELINA SCHECHN'!D13</f>
        <v/>
      </c>
    </row>
    <row r="577" ht="15" customHeight="1" s="163">
      <c r="A577" s="319">
        <f>'ESCOLA MUNICIPAL CELINA SCHECHN'!I14</f>
        <v/>
      </c>
      <c r="B577" s="320">
        <f>'ESCOLA MUNICIPAL CELINA SCHECHN'!D14</f>
        <v/>
      </c>
    </row>
    <row r="578" ht="15" customHeight="1" s="163">
      <c r="A578" s="319">
        <f>'ESCOLA MUNICIPAL CELINA SCHECHN'!I15</f>
        <v/>
      </c>
      <c r="B578" s="320">
        <f>'ESCOLA MUNICIPAL CELINA SCHECHN'!D15</f>
        <v/>
      </c>
    </row>
    <row r="579" ht="15" customHeight="1" s="163">
      <c r="A579" s="319">
        <f>'ESCOLA MUNICIPAL CELINA SCHECHN'!I16</f>
        <v/>
      </c>
      <c r="B579" s="320">
        <f>'ESCOLA MUNICIPAL CELINA SCHECHN'!D16</f>
        <v/>
      </c>
    </row>
    <row r="580" ht="15" customHeight="1" s="163">
      <c r="A580" s="319">
        <f>'ESCOLA MUNICIPAL CELINA SCHECHN'!I17</f>
        <v/>
      </c>
      <c r="B580" s="320">
        <f>'ESCOLA MUNICIPAL CELINA SCHECHN'!D17</f>
        <v/>
      </c>
    </row>
    <row r="581" ht="15" customHeight="1" s="163">
      <c r="A581" s="319">
        <f>'ESCOLA MUNICIPAL CELINA SCHECHN'!I18</f>
        <v/>
      </c>
      <c r="B581" s="320">
        <f>'ESCOLA MUNICIPAL CELINA SCHECHN'!D18</f>
        <v/>
      </c>
    </row>
    <row r="582" ht="15" customHeight="1" s="163">
      <c r="A582" s="319">
        <f>'ESCOLA MUNICIPAL CELINA SCHECHN'!I19</f>
        <v/>
      </c>
      <c r="B582" s="320">
        <f>'ESCOLA MUNICIPAL CELINA SCHECHN'!D19</f>
        <v/>
      </c>
    </row>
    <row r="583" ht="15" customHeight="1" s="163">
      <c r="A583" s="319">
        <f>'ESCOLA MUNICIPAL CELINA SCHECHN'!I20</f>
        <v/>
      </c>
      <c r="B583" s="320">
        <f>'ESCOLA MUNICIPAL CELINA SCHECHN'!D20</f>
        <v/>
      </c>
    </row>
    <row r="584" ht="15" customHeight="1" s="163">
      <c r="A584" s="319">
        <f>'ESCOLA MUNICIPAL CELINA SCHECHN'!I21</f>
        <v/>
      </c>
      <c r="B584" s="320">
        <f>'ESCOLA MUNICIPAL CELINA SCHECHN'!D21</f>
        <v/>
      </c>
    </row>
    <row r="585" ht="15" customHeight="1" s="163">
      <c r="A585" s="319">
        <f>'ESCOLA MUNICIPAL CELINA SCHECHN'!I22</f>
        <v/>
      </c>
      <c r="B585" s="320">
        <f>'ESCOLA MUNICIPAL CELINA SCHECHN'!D22</f>
        <v/>
      </c>
    </row>
    <row r="586" ht="15" customHeight="1" s="163">
      <c r="A586" s="319">
        <f>'ESCOLA MUNICIPAL CELINA SCHECHN'!I23</f>
        <v/>
      </c>
      <c r="B586" s="320">
        <f>'ESCOLA MUNICIPAL CELINA SCHECHN'!D23</f>
        <v/>
      </c>
    </row>
    <row r="587" ht="15" customHeight="1" s="163">
      <c r="A587" s="319">
        <f>'ESCOLA MUNICIPAL CELINA SCHECHN'!I24</f>
        <v/>
      </c>
      <c r="B587" s="320">
        <f>'ESCOLA MUNICIPAL CELINA SCHECHN'!D24</f>
        <v/>
      </c>
    </row>
    <row r="588" ht="15" customHeight="1" s="163">
      <c r="A588" s="319">
        <f>'ESCOLA MUNICIPAL CELINA SCHECHN'!I25</f>
        <v/>
      </c>
      <c r="B588" s="320">
        <f>'ESCOLA MUNICIPAL CELINA SCHECHN'!D25</f>
        <v/>
      </c>
    </row>
    <row r="589" ht="15" customHeight="1" s="163">
      <c r="A589" s="319">
        <f>'ESCOLA MUNICIPAL CELINA SCHECHN'!I26</f>
        <v/>
      </c>
      <c r="B589" s="320">
        <f>'ESCOLA MUNICIPAL CELINA SCHECHN'!D26</f>
        <v/>
      </c>
    </row>
    <row r="590" ht="15" customHeight="1" s="163">
      <c r="A590" s="319">
        <f>'ESCOLA MUNICIPAL CELINA SCHECHN'!I27</f>
        <v/>
      </c>
      <c r="B590" s="320">
        <f>'ESCOLA MUNICIPAL CELINA SCHECHN'!D27</f>
        <v/>
      </c>
    </row>
    <row r="591" ht="15" customHeight="1" s="163">
      <c r="A591" s="319">
        <f>'E M DARCY CORREA DA VEIGA'!I9</f>
        <v/>
      </c>
      <c r="B591" s="320">
        <f>'E M DARCY CORREA DA VEIGA'!D9</f>
        <v/>
      </c>
    </row>
    <row r="592" ht="15" customHeight="1" s="163">
      <c r="A592" s="319">
        <f>'E M DARCY CORREA DA VEIGA'!I10</f>
        <v/>
      </c>
      <c r="B592" s="320">
        <f>'E M DARCY CORREA DA VEIGA'!D10</f>
        <v/>
      </c>
    </row>
    <row r="593" ht="15" customHeight="1" s="163">
      <c r="A593" s="319">
        <f>'E M DARCY CORREA DA VEIGA'!I11</f>
        <v/>
      </c>
      <c r="B593" s="320">
        <f>'E M DARCY CORREA DA VEIGA'!D11</f>
        <v/>
      </c>
    </row>
    <row r="594" ht="15" customHeight="1" s="163">
      <c r="A594" s="319">
        <f>'E M DARCY CORREA DA VEIGA'!I12</f>
        <v/>
      </c>
      <c r="B594" s="320">
        <f>'E M DARCY CORREA DA VEIGA'!D12</f>
        <v/>
      </c>
    </row>
    <row r="595" ht="15" customHeight="1" s="163">
      <c r="A595" s="319">
        <f>'E M DARCY CORREA DA VEIGA'!I13</f>
        <v/>
      </c>
      <c r="B595" s="320">
        <f>'E M DARCY CORREA DA VEIGA'!D13</f>
        <v/>
      </c>
    </row>
    <row r="596" ht="15" customHeight="1" s="163">
      <c r="A596" s="319">
        <f>'E M DARCY CORREA DA VEIGA'!I14</f>
        <v/>
      </c>
      <c r="B596" s="320">
        <f>'E M DARCY CORREA DA VEIGA'!D14</f>
        <v/>
      </c>
    </row>
    <row r="597" ht="15" customHeight="1" s="163">
      <c r="A597" s="319">
        <f>'E M DARCY CORREA DA VEIGA'!I15</f>
        <v/>
      </c>
      <c r="B597" s="320">
        <f>'E M DARCY CORREA DA VEIGA'!D15</f>
        <v/>
      </c>
    </row>
    <row r="598" ht="15" customHeight="1" s="163">
      <c r="A598" s="319">
        <f>'E M DARCY CORREA DA VEIGA'!I16</f>
        <v/>
      </c>
      <c r="B598" s="320">
        <f>'E M DARCY CORREA DA VEIGA'!D16</f>
        <v/>
      </c>
    </row>
    <row r="599" ht="15" customHeight="1" s="163">
      <c r="A599" s="319">
        <f>'E M DARCY CORREA DA VEIGA'!I17</f>
        <v/>
      </c>
      <c r="B599" s="320">
        <f>'E M DARCY CORREA DA VEIGA'!D17</f>
        <v/>
      </c>
    </row>
    <row r="600" ht="15" customHeight="1" s="163">
      <c r="A600" s="319">
        <f>'E M DARCY CORREA DA VEIGA'!I18</f>
        <v/>
      </c>
      <c r="B600" s="320">
        <f>'E M DARCY CORREA DA VEIGA'!D18</f>
        <v/>
      </c>
    </row>
    <row r="601" ht="15" customHeight="1" s="163">
      <c r="A601" s="319">
        <f>'E M DARCY CORREA DA VEIGA'!I19</f>
        <v/>
      </c>
      <c r="B601" s="320">
        <f>'E M DARCY CORREA DA VEIGA'!D19</f>
        <v/>
      </c>
    </row>
    <row r="602" ht="15" customHeight="1" s="163">
      <c r="A602" s="319">
        <f>'E M DARCY CORREA DA VEIGA'!I20</f>
        <v/>
      </c>
      <c r="B602" s="320">
        <f>'E M DARCY CORREA DA VEIGA'!D20</f>
        <v/>
      </c>
    </row>
    <row r="603" ht="15" customHeight="1" s="163">
      <c r="A603" s="319">
        <f>'E M DARCY CORREA DA VEIGA'!I21</f>
        <v/>
      </c>
      <c r="B603" s="320">
        <f>'E M DARCY CORREA DA VEIGA'!D21</f>
        <v/>
      </c>
    </row>
    <row r="604" ht="15" customHeight="1" s="163">
      <c r="A604" s="319">
        <f>'E M DARCY CORREA DA VEIGA'!I22</f>
        <v/>
      </c>
      <c r="B604" s="320">
        <f>'E M DARCY CORREA DA VEIGA'!D22</f>
        <v/>
      </c>
    </row>
    <row r="605" ht="15" customHeight="1" s="163">
      <c r="A605" s="319">
        <f>'E M DARCY CORREA DA VEIGA'!I23</f>
        <v/>
      </c>
      <c r="B605" s="320">
        <f>'E M DARCY CORREA DA VEIGA'!D23</f>
        <v/>
      </c>
    </row>
    <row r="606" ht="15" customHeight="1" s="163">
      <c r="A606" s="319">
        <f>'E M DARCY CORREA DA VEIGA'!I24</f>
        <v/>
      </c>
      <c r="B606" s="320">
        <f>'E M DARCY CORREA DA VEIGA'!D24</f>
        <v/>
      </c>
    </row>
    <row r="607" ht="15" customHeight="1" s="163">
      <c r="A607" s="319">
        <f>'E M DARCY CORREA DA VEIGA'!I25</f>
        <v/>
      </c>
      <c r="B607" s="320">
        <f>'E M DARCY CORREA DA VEIGA'!D25</f>
        <v/>
      </c>
    </row>
    <row r="608" ht="15" customHeight="1" s="163">
      <c r="A608" s="319">
        <f>'E M DARCY CORREA DA VEIGA'!I26</f>
        <v/>
      </c>
      <c r="B608" s="320">
        <f>'E M DARCY CORREA DA VEIGA'!D26</f>
        <v/>
      </c>
    </row>
    <row r="609" ht="15" customHeight="1" s="163">
      <c r="A609" s="319">
        <f>'E M DARCY CORREA DA VEIGA'!I27</f>
        <v/>
      </c>
      <c r="B609" s="320">
        <f>'E M DARCY CORREA DA VEIGA'!D27</f>
        <v/>
      </c>
    </row>
    <row r="610" ht="15" customHeight="1" s="163">
      <c r="A610" s="319">
        <f>'E M DR PAULA BUARQUE'!I9</f>
        <v/>
      </c>
      <c r="B610" s="320">
        <f>'E M DR PAULA BUARQUE'!D9</f>
        <v/>
      </c>
    </row>
    <row r="611" ht="15" customHeight="1" s="163">
      <c r="A611" s="319">
        <f>'E M DR PAULA BUARQUE'!I10</f>
        <v/>
      </c>
      <c r="B611" s="320">
        <f>'E M DR PAULA BUARQUE'!D10</f>
        <v/>
      </c>
    </row>
    <row r="612" ht="15" customHeight="1" s="163">
      <c r="A612" s="319">
        <f>'E M DR PAULA BUARQUE'!I11</f>
        <v/>
      </c>
      <c r="B612" s="320">
        <f>'E M DR PAULA BUARQUE'!D11</f>
        <v/>
      </c>
    </row>
    <row r="613" ht="15" customHeight="1" s="163">
      <c r="A613" s="319">
        <f>'E M DR PAULA BUARQUE'!I12</f>
        <v/>
      </c>
      <c r="B613" s="320">
        <f>'E M DR PAULA BUARQUE'!D12</f>
        <v/>
      </c>
    </row>
    <row r="614" ht="15" customHeight="1" s="163">
      <c r="A614" s="319">
        <f>'E M DR PAULA BUARQUE'!I13</f>
        <v/>
      </c>
      <c r="B614" s="320">
        <f>'E M DR PAULA BUARQUE'!D13</f>
        <v/>
      </c>
    </row>
    <row r="615" ht="15" customHeight="1" s="163">
      <c r="A615" s="319">
        <f>'E M DR PAULA BUARQUE'!I14</f>
        <v/>
      </c>
      <c r="B615" s="320">
        <f>'E M DR PAULA BUARQUE'!D14</f>
        <v/>
      </c>
    </row>
    <row r="616" ht="15" customHeight="1" s="163">
      <c r="A616" s="319">
        <f>'E M DR PAULA BUARQUE'!I15</f>
        <v/>
      </c>
      <c r="B616" s="320">
        <f>'E M DR PAULA BUARQUE'!D15</f>
        <v/>
      </c>
    </row>
    <row r="617" ht="15" customHeight="1" s="163">
      <c r="A617" s="319">
        <f>'E M DR PAULA BUARQUE'!I16</f>
        <v/>
      </c>
      <c r="B617" s="320">
        <f>'E M DR PAULA BUARQUE'!D16</f>
        <v/>
      </c>
    </row>
    <row r="618" ht="15" customHeight="1" s="163">
      <c r="A618" s="319">
        <f>'E M DR PAULA BUARQUE'!I17</f>
        <v/>
      </c>
      <c r="B618" s="320">
        <f>'E M DR PAULA BUARQUE'!D17</f>
        <v/>
      </c>
    </row>
    <row r="619" ht="15" customHeight="1" s="163">
      <c r="A619" s="319">
        <f>'E M DR PAULA BUARQUE'!I18</f>
        <v/>
      </c>
      <c r="B619" s="320">
        <f>'E M DR PAULA BUARQUE'!D18</f>
        <v/>
      </c>
    </row>
    <row r="620" ht="15" customHeight="1" s="163">
      <c r="A620" s="319">
        <f>'E M DR PAULA BUARQUE'!I19</f>
        <v/>
      </c>
      <c r="B620" s="320">
        <f>'E M DR PAULA BUARQUE'!D19</f>
        <v/>
      </c>
    </row>
    <row r="621" ht="15" customHeight="1" s="163">
      <c r="A621" s="319">
        <f>'E M DR PAULA BUARQUE'!I20</f>
        <v/>
      </c>
      <c r="B621" s="320">
        <f>'E M DR PAULA BUARQUE'!D20</f>
        <v/>
      </c>
    </row>
    <row r="622" ht="15" customHeight="1" s="163">
      <c r="A622" s="319">
        <f>'E M DR PAULA BUARQUE'!I21</f>
        <v/>
      </c>
      <c r="B622" s="320">
        <f>'E M DR PAULA BUARQUE'!D21</f>
        <v/>
      </c>
    </row>
    <row r="623" ht="15" customHeight="1" s="163">
      <c r="A623" s="319">
        <f>'E M DR PAULA BUARQUE'!I22</f>
        <v/>
      </c>
      <c r="B623" s="320">
        <f>'E M DR PAULA BUARQUE'!D22</f>
        <v/>
      </c>
    </row>
    <row r="624" ht="15" customHeight="1" s="163">
      <c r="A624" s="319">
        <f>'E M DR PAULA BUARQUE'!I23</f>
        <v/>
      </c>
      <c r="B624" s="320">
        <f>'E M DR PAULA BUARQUE'!D23</f>
        <v/>
      </c>
    </row>
    <row r="625" ht="15" customHeight="1" s="163">
      <c r="A625" s="319">
        <f>'E M DR PAULA BUARQUE'!I24</f>
        <v/>
      </c>
      <c r="B625" s="320">
        <f>'E M DR PAULA BUARQUE'!D24</f>
        <v/>
      </c>
    </row>
    <row r="626" ht="15" customHeight="1" s="163">
      <c r="A626" s="319">
        <f>'E M DR PAULA BUARQUE'!I25</f>
        <v/>
      </c>
      <c r="B626" s="320">
        <f>'E M DR PAULA BUARQUE'!D25</f>
        <v/>
      </c>
    </row>
    <row r="627" ht="15" customHeight="1" s="163">
      <c r="A627" s="319">
        <f>'E M DR PAULA BUARQUE'!I26</f>
        <v/>
      </c>
      <c r="B627" s="320">
        <f>'E M DR PAULA BUARQUE'!D26</f>
        <v/>
      </c>
    </row>
    <row r="628" ht="15" customHeight="1" s="163">
      <c r="A628" s="319">
        <f>'E M DR PAULA BUARQUE'!I27</f>
        <v/>
      </c>
      <c r="B628" s="320">
        <f>'E M DR PAULA BUARQUE'!D27</f>
        <v/>
      </c>
    </row>
    <row r="629" ht="15" customHeight="1" s="163">
      <c r="A629" s="319">
        <f>'E M DR THEODORO MACHADO'!I9</f>
        <v/>
      </c>
      <c r="B629" s="320">
        <f>'E M DR THEODORO MACHADO'!D9</f>
        <v/>
      </c>
    </row>
    <row r="630" ht="15" customHeight="1" s="163">
      <c r="A630" s="319">
        <f>'E M DR THEODORO MACHADO'!I10</f>
        <v/>
      </c>
      <c r="B630" s="320">
        <f>'E M DR THEODORO MACHADO'!D10</f>
        <v/>
      </c>
    </row>
    <row r="631" ht="15" customHeight="1" s="163">
      <c r="A631" s="319">
        <f>'E M DR THEODORO MACHADO'!I11</f>
        <v/>
      </c>
      <c r="B631" s="320">
        <f>'E M DR THEODORO MACHADO'!D11</f>
        <v/>
      </c>
    </row>
    <row r="632" ht="15" customHeight="1" s="163">
      <c r="A632" s="319">
        <f>'E M DR THEODORO MACHADO'!I12</f>
        <v/>
      </c>
      <c r="B632" s="320">
        <f>'E M DR THEODORO MACHADO'!D12</f>
        <v/>
      </c>
    </row>
    <row r="633" ht="15" customHeight="1" s="163">
      <c r="A633" s="319">
        <f>'E M DR THEODORO MACHADO'!I13</f>
        <v/>
      </c>
      <c r="B633" s="320">
        <f>'E M DR THEODORO MACHADO'!D13</f>
        <v/>
      </c>
    </row>
    <row r="634" ht="15" customHeight="1" s="163">
      <c r="A634" s="319">
        <f>'E M DR THEODORO MACHADO'!I14</f>
        <v/>
      </c>
      <c r="B634" s="320">
        <f>'E M DR THEODORO MACHADO'!D14</f>
        <v/>
      </c>
    </row>
    <row r="635" ht="15" customHeight="1" s="163">
      <c r="A635" s="319">
        <f>'E M DR THEODORO MACHADO'!I15</f>
        <v/>
      </c>
      <c r="B635" s="320">
        <f>'E M DR THEODORO MACHADO'!D15</f>
        <v/>
      </c>
    </row>
    <row r="636" ht="15" customHeight="1" s="163">
      <c r="A636" s="319">
        <f>'E M DR THEODORO MACHADO'!I16</f>
        <v/>
      </c>
      <c r="B636" s="320">
        <f>'E M DR THEODORO MACHADO'!D16</f>
        <v/>
      </c>
    </row>
    <row r="637" ht="15" customHeight="1" s="163">
      <c r="A637" s="319">
        <f>'E M DR THEODORO MACHADO'!I17</f>
        <v/>
      </c>
      <c r="B637" s="320">
        <f>'E M DR THEODORO MACHADO'!D17</f>
        <v/>
      </c>
    </row>
    <row r="638" ht="15" customHeight="1" s="163">
      <c r="A638" s="319">
        <f>'E M DR THEODORO MACHADO'!I18</f>
        <v/>
      </c>
      <c r="B638" s="320">
        <f>'E M DR THEODORO MACHADO'!D18</f>
        <v/>
      </c>
    </row>
    <row r="639" ht="15" customHeight="1" s="163">
      <c r="A639" s="319">
        <f>'E M DR THEODORO MACHADO'!I19</f>
        <v/>
      </c>
      <c r="B639" s="320">
        <f>'E M DR THEODORO MACHADO'!D19</f>
        <v/>
      </c>
    </row>
    <row r="640" ht="15" customHeight="1" s="163">
      <c r="A640" s="319">
        <f>'E M DR THEODORO MACHADO'!I20</f>
        <v/>
      </c>
      <c r="B640" s="320">
        <f>'E M DR THEODORO MACHADO'!D20</f>
        <v/>
      </c>
    </row>
    <row r="641" ht="15" customHeight="1" s="163">
      <c r="A641" s="319">
        <f>'E M DR THEODORO MACHADO'!I21</f>
        <v/>
      </c>
      <c r="B641" s="320">
        <f>'E M DR THEODORO MACHADO'!D21</f>
        <v/>
      </c>
    </row>
    <row r="642" ht="15" customHeight="1" s="163">
      <c r="A642" s="319">
        <f>'E M DR THEODORO MACHADO'!I22</f>
        <v/>
      </c>
      <c r="B642" s="320">
        <f>'E M DR THEODORO MACHADO'!D22</f>
        <v/>
      </c>
    </row>
    <row r="643" ht="15" customHeight="1" s="163">
      <c r="A643" s="319">
        <f>'E M DR THEODORO MACHADO'!I23</f>
        <v/>
      </c>
      <c r="B643" s="320">
        <f>'E M DR THEODORO MACHADO'!D23</f>
        <v/>
      </c>
    </row>
    <row r="644" ht="15" customHeight="1" s="163">
      <c r="A644" s="319">
        <f>'E M DR THEODORO MACHADO'!I24</f>
        <v/>
      </c>
      <c r="B644" s="320">
        <f>'E M DR THEODORO MACHADO'!D24</f>
        <v/>
      </c>
    </row>
    <row r="645" ht="15" customHeight="1" s="163">
      <c r="A645" s="319">
        <f>'E M DR THEODORO MACHADO'!I25</f>
        <v/>
      </c>
      <c r="B645" s="320">
        <f>'E M DR THEODORO MACHADO'!D25</f>
        <v/>
      </c>
    </row>
    <row r="646" ht="15" customHeight="1" s="163">
      <c r="A646" s="319">
        <f>'E M DR THEODORO MACHADO'!I26</f>
        <v/>
      </c>
      <c r="B646" s="320">
        <f>'E M DR THEODORO MACHADO'!D26</f>
        <v/>
      </c>
    </row>
    <row r="647" ht="15" customHeight="1" s="163">
      <c r="A647" s="319">
        <f>'E M DR THEODORO MACHADO'!I27</f>
        <v/>
      </c>
      <c r="B647" s="320">
        <f>'E M DR THEODORO MACHADO'!D27</f>
        <v/>
      </c>
    </row>
    <row r="648" ht="15" customHeight="1" s="163">
      <c r="A648" s="319">
        <f>'E M ARNALDO DYCKERHOFF'!I9</f>
        <v/>
      </c>
      <c r="B648" s="320">
        <f>'E M ARNALDO DYCKERHOFF'!D9</f>
        <v/>
      </c>
    </row>
    <row r="649" ht="15" customHeight="1" s="163">
      <c r="A649" s="319">
        <f>'E M ARNALDO DYCKERHOFF'!I10</f>
        <v/>
      </c>
      <c r="B649" s="320">
        <f>'E M ARNALDO DYCKERHOFF'!D10</f>
        <v/>
      </c>
    </row>
    <row r="650" ht="15" customHeight="1" s="163">
      <c r="A650" s="319">
        <f>'E M ARNALDO DYCKERHOFF'!I11</f>
        <v/>
      </c>
      <c r="B650" s="320">
        <f>'E M ARNALDO DYCKERHOFF'!D11</f>
        <v/>
      </c>
    </row>
    <row r="651" ht="15" customHeight="1" s="163">
      <c r="A651" s="319">
        <f>'E M ARNALDO DYCKERHOFF'!I12</f>
        <v/>
      </c>
      <c r="B651" s="320">
        <f>'E M ARNALDO DYCKERHOFF'!D12</f>
        <v/>
      </c>
    </row>
    <row r="652" ht="15" customHeight="1" s="163">
      <c r="A652" s="319">
        <f>'E M ARNALDO DYCKERHOFF'!I13</f>
        <v/>
      </c>
      <c r="B652" s="320">
        <f>'E M ARNALDO DYCKERHOFF'!D13</f>
        <v/>
      </c>
    </row>
    <row r="653" ht="15" customHeight="1" s="163">
      <c r="A653" s="319">
        <f>'E M ARNALDO DYCKERHOFF'!I14</f>
        <v/>
      </c>
      <c r="B653" s="320">
        <f>'E M ARNALDO DYCKERHOFF'!D14</f>
        <v/>
      </c>
    </row>
    <row r="654" ht="15" customHeight="1" s="163">
      <c r="A654" s="319">
        <f>'E M ARNALDO DYCKERHOFF'!I15</f>
        <v/>
      </c>
      <c r="B654" s="320">
        <f>'E M ARNALDO DYCKERHOFF'!D15</f>
        <v/>
      </c>
    </row>
    <row r="655" ht="15" customHeight="1" s="163">
      <c r="A655" s="319">
        <f>'E M ARNALDO DYCKERHOFF'!I16</f>
        <v/>
      </c>
      <c r="B655" s="320">
        <f>'E M ARNALDO DYCKERHOFF'!D16</f>
        <v/>
      </c>
    </row>
    <row r="656" ht="15" customHeight="1" s="163">
      <c r="A656" s="319">
        <f>'E M ARNALDO DYCKERHOFF'!I17</f>
        <v/>
      </c>
      <c r="B656" s="320">
        <f>'E M ARNALDO DYCKERHOFF'!D17</f>
        <v/>
      </c>
    </row>
    <row r="657" ht="15" customHeight="1" s="163">
      <c r="A657" s="319">
        <f>'E M ARNALDO DYCKERHOFF'!I18</f>
        <v/>
      </c>
      <c r="B657" s="320">
        <f>'E M ARNALDO DYCKERHOFF'!D18</f>
        <v/>
      </c>
    </row>
    <row r="658" ht="15" customHeight="1" s="163">
      <c r="A658" s="319">
        <f>'E M ARNALDO DYCKERHOFF'!I19</f>
        <v/>
      </c>
      <c r="B658" s="320">
        <f>'E M ARNALDO DYCKERHOFF'!D19</f>
        <v/>
      </c>
    </row>
    <row r="659" ht="15" customHeight="1" s="163">
      <c r="A659" s="319">
        <f>'E M ARNALDO DYCKERHOFF'!I20</f>
        <v/>
      </c>
      <c r="B659" s="320">
        <f>'E M ARNALDO DYCKERHOFF'!D20</f>
        <v/>
      </c>
    </row>
    <row r="660" ht="15" customHeight="1" s="163">
      <c r="A660" s="319">
        <f>'E M ARNALDO DYCKERHOFF'!I21</f>
        <v/>
      </c>
      <c r="B660" s="320">
        <f>'E M ARNALDO DYCKERHOFF'!D21</f>
        <v/>
      </c>
    </row>
    <row r="661" ht="15" customHeight="1" s="163">
      <c r="A661" s="319">
        <f>'E M ARNALDO DYCKERHOFF'!I22</f>
        <v/>
      </c>
      <c r="B661" s="320">
        <f>'E M ARNALDO DYCKERHOFF'!D22</f>
        <v/>
      </c>
    </row>
    <row r="662" ht="15" customHeight="1" s="163">
      <c r="A662" s="319">
        <f>'E M ARNALDO DYCKERHOFF'!I23</f>
        <v/>
      </c>
      <c r="B662" s="320">
        <f>'E M ARNALDO DYCKERHOFF'!D23</f>
        <v/>
      </c>
    </row>
    <row r="663" ht="15" customHeight="1" s="163">
      <c r="A663" s="319">
        <f>'E M ARNALDO DYCKERHOFF'!I24</f>
        <v/>
      </c>
      <c r="B663" s="320">
        <f>'E M ARNALDO DYCKERHOFF'!D24</f>
        <v/>
      </c>
    </row>
    <row r="664" ht="15" customHeight="1" s="163">
      <c r="A664" s="319">
        <f>'E M ARNALDO DYCKERHOFF'!I25</f>
        <v/>
      </c>
      <c r="B664" s="320">
        <f>'E M ARNALDO DYCKERHOFF'!D25</f>
        <v/>
      </c>
    </row>
    <row r="665" ht="15" customHeight="1" s="163">
      <c r="A665" s="319">
        <f>'E M ARNALDO DYCKERHOFF'!I26</f>
        <v/>
      </c>
      <c r="B665" s="320">
        <f>'E M ARNALDO DYCKERHOFF'!D26</f>
        <v/>
      </c>
    </row>
    <row r="666" ht="15" customHeight="1" s="163">
      <c r="A666" s="319">
        <f>'E M ARNALDO DYCKERHOFF'!I27</f>
        <v/>
      </c>
      <c r="B666" s="320">
        <f>'E M ARNALDO DYCKERHOFF'!D27</f>
        <v/>
      </c>
    </row>
    <row r="667" ht="15" customHeight="1" s="163">
      <c r="A667" s="319">
        <f>'E M CARLOS CANEDO'!I9</f>
        <v/>
      </c>
      <c r="B667" s="320">
        <f>'E M CARLOS CANEDO'!D9</f>
        <v/>
      </c>
    </row>
    <row r="668" ht="15" customHeight="1" s="163">
      <c r="A668" s="319">
        <f>'E M CARLOS CANEDO'!I10</f>
        <v/>
      </c>
      <c r="B668" s="320">
        <f>'E M CARLOS CANEDO'!D10</f>
        <v/>
      </c>
    </row>
    <row r="669" ht="15" customHeight="1" s="163">
      <c r="A669" s="319">
        <f>'E M CARLOS CANEDO'!I11</f>
        <v/>
      </c>
      <c r="B669" s="320">
        <f>'E M CARLOS CANEDO'!D11</f>
        <v/>
      </c>
    </row>
    <row r="670" ht="15" customHeight="1" s="163">
      <c r="A670" s="319">
        <f>'E M CARLOS CANEDO'!I12</f>
        <v/>
      </c>
      <c r="B670" s="320">
        <f>'E M CARLOS CANEDO'!D12</f>
        <v/>
      </c>
    </row>
    <row r="671" ht="15" customHeight="1" s="163">
      <c r="A671" s="319">
        <f>'E M CARLOS CANEDO'!I13</f>
        <v/>
      </c>
      <c r="B671" s="320">
        <f>'E M CARLOS CANEDO'!D13</f>
        <v/>
      </c>
    </row>
    <row r="672" ht="15" customHeight="1" s="163">
      <c r="A672" s="319">
        <f>'E M CARLOS CANEDO'!I14</f>
        <v/>
      </c>
      <c r="B672" s="320">
        <f>'E M CARLOS CANEDO'!D14</f>
        <v/>
      </c>
    </row>
    <row r="673" ht="15" customHeight="1" s="163">
      <c r="A673" s="319">
        <f>'E M CARLOS CANEDO'!I15</f>
        <v/>
      </c>
      <c r="B673" s="320">
        <f>'E M CARLOS CANEDO'!D15</f>
        <v/>
      </c>
    </row>
    <row r="674" ht="15" customHeight="1" s="163">
      <c r="A674" s="319">
        <f>'E M CARLOS CANEDO'!I16</f>
        <v/>
      </c>
      <c r="B674" s="320">
        <f>'E M CARLOS CANEDO'!D16</f>
        <v/>
      </c>
    </row>
    <row r="675" ht="15" customHeight="1" s="163">
      <c r="A675" s="319">
        <f>'E M CARLOS CANEDO'!I17</f>
        <v/>
      </c>
      <c r="B675" s="320">
        <f>'E M CARLOS CANEDO'!D17</f>
        <v/>
      </c>
    </row>
    <row r="676" ht="15" customHeight="1" s="163">
      <c r="A676" s="319">
        <f>'E M CARLOS CANEDO'!I18</f>
        <v/>
      </c>
      <c r="B676" s="320">
        <f>'E M CARLOS CANEDO'!D18</f>
        <v/>
      </c>
    </row>
    <row r="677" ht="15" customHeight="1" s="163">
      <c r="A677" s="319">
        <f>'E M CARLOS CANEDO'!I19</f>
        <v/>
      </c>
      <c r="B677" s="320">
        <f>'E M CARLOS CANEDO'!D19</f>
        <v/>
      </c>
    </row>
    <row r="678" ht="15" customHeight="1" s="163">
      <c r="A678" s="319">
        <f>'E M CARLOS CANEDO'!I20</f>
        <v/>
      </c>
      <c r="B678" s="320">
        <f>'E M CARLOS CANEDO'!D20</f>
        <v/>
      </c>
    </row>
    <row r="679" ht="15" customHeight="1" s="163">
      <c r="A679" s="319">
        <f>'E M CARLOS CANEDO'!I21</f>
        <v/>
      </c>
      <c r="B679" s="320">
        <f>'E M CARLOS CANEDO'!D21</f>
        <v/>
      </c>
    </row>
    <row r="680" ht="15" customHeight="1" s="163">
      <c r="A680" s="319">
        <f>'E M CARLOS CANEDO'!I22</f>
        <v/>
      </c>
      <c r="B680" s="320">
        <f>'E M CARLOS CANEDO'!D22</f>
        <v/>
      </c>
    </row>
    <row r="681" ht="15" customHeight="1" s="163">
      <c r="A681" s="319">
        <f>'E M CARLOS CANEDO'!I23</f>
        <v/>
      </c>
      <c r="B681" s="320">
        <f>'E M CARLOS CANEDO'!D23</f>
        <v/>
      </c>
    </row>
    <row r="682" ht="15" customHeight="1" s="163">
      <c r="A682" s="319">
        <f>'E M CARLOS CANEDO'!I24</f>
        <v/>
      </c>
      <c r="B682" s="320">
        <f>'E M CARLOS CANEDO'!D24</f>
        <v/>
      </c>
    </row>
    <row r="683" ht="15" customHeight="1" s="163">
      <c r="A683" s="319">
        <f>'E M CARLOS CANEDO'!I25</f>
        <v/>
      </c>
      <c r="B683" s="320">
        <f>'E M CARLOS CANEDO'!D25</f>
        <v/>
      </c>
    </row>
    <row r="684" ht="15" customHeight="1" s="163">
      <c r="A684" s="319">
        <f>'E M CARLOS CANEDO'!I26</f>
        <v/>
      </c>
      <c r="B684" s="320">
        <f>'E M CARLOS CANEDO'!D26</f>
        <v/>
      </c>
    </row>
    <row r="685" ht="15" customHeight="1" s="163">
      <c r="A685" s="319">
        <f>'E M CARLOS CANEDO'!I27</f>
        <v/>
      </c>
      <c r="B685" s="320">
        <f>'E M CARLOS CANEDO'!D27</f>
        <v/>
      </c>
    </row>
    <row r="686" ht="15" customHeight="1" s="163">
      <c r="A686" s="319">
        <f>'E M DR BARROS FRANCO'!I9</f>
        <v/>
      </c>
      <c r="B686" s="320">
        <f>'E M DR BARROS FRANCO'!D9</f>
        <v/>
      </c>
    </row>
    <row r="687" ht="15" customHeight="1" s="163">
      <c r="A687" s="319">
        <f>'E M DR BARROS FRANCO'!I10</f>
        <v/>
      </c>
      <c r="B687" s="320">
        <f>'E M DR BARROS FRANCO'!D10</f>
        <v/>
      </c>
    </row>
    <row r="688" ht="15" customHeight="1" s="163">
      <c r="A688" s="319">
        <f>'E M DR BARROS FRANCO'!I11</f>
        <v/>
      </c>
      <c r="B688" s="320">
        <f>'E M DR BARROS FRANCO'!D11</f>
        <v/>
      </c>
    </row>
    <row r="689" ht="15" customHeight="1" s="163">
      <c r="A689" s="319">
        <f>'E M DR BARROS FRANCO'!I12</f>
        <v/>
      </c>
      <c r="B689" s="320">
        <f>'E M DR BARROS FRANCO'!D12</f>
        <v/>
      </c>
    </row>
    <row r="690" ht="15" customHeight="1" s="163">
      <c r="A690" s="319">
        <f>'E M DR BARROS FRANCO'!I13</f>
        <v/>
      </c>
      <c r="B690" s="320">
        <f>'E M DR BARROS FRANCO'!D13</f>
        <v/>
      </c>
    </row>
    <row r="691" ht="15" customHeight="1" s="163">
      <c r="A691" s="319">
        <f>'E M DR BARROS FRANCO'!I14</f>
        <v/>
      </c>
      <c r="B691" s="320">
        <f>'E M DR BARROS FRANCO'!D14</f>
        <v/>
      </c>
    </row>
    <row r="692" ht="15" customHeight="1" s="163">
      <c r="A692" s="319">
        <f>'E M DR BARROS FRANCO'!I15</f>
        <v/>
      </c>
      <c r="B692" s="320">
        <f>'E M DR BARROS FRANCO'!D15</f>
        <v/>
      </c>
    </row>
    <row r="693" ht="15" customHeight="1" s="163">
      <c r="A693" s="319">
        <f>'E M DR BARROS FRANCO'!I16</f>
        <v/>
      </c>
      <c r="B693" s="320">
        <f>'E M DR BARROS FRANCO'!D16</f>
        <v/>
      </c>
    </row>
    <row r="694" ht="15" customHeight="1" s="163">
      <c r="A694" s="319">
        <f>'E M DR BARROS FRANCO'!I17</f>
        <v/>
      </c>
      <c r="B694" s="320">
        <f>'E M DR BARROS FRANCO'!D17</f>
        <v/>
      </c>
    </row>
    <row r="695" ht="15" customHeight="1" s="163">
      <c r="A695" s="319">
        <f>'E M DR BARROS FRANCO'!I18</f>
        <v/>
      </c>
      <c r="B695" s="320">
        <f>'E M DR BARROS FRANCO'!D18</f>
        <v/>
      </c>
    </row>
    <row r="696" ht="15" customHeight="1" s="163">
      <c r="A696" s="319">
        <f>'E M DR BARROS FRANCO'!I19</f>
        <v/>
      </c>
      <c r="B696" s="320">
        <f>'E M DR BARROS FRANCO'!D19</f>
        <v/>
      </c>
    </row>
    <row r="697" ht="15" customHeight="1" s="163">
      <c r="A697" s="319">
        <f>'E M DR BARROS FRANCO'!I20</f>
        <v/>
      </c>
      <c r="B697" s="320">
        <f>'E M DR BARROS FRANCO'!D20</f>
        <v/>
      </c>
    </row>
    <row r="698" ht="15" customHeight="1" s="163">
      <c r="A698" s="319">
        <f>'E M DR BARROS FRANCO'!I21</f>
        <v/>
      </c>
      <c r="B698" s="320">
        <f>'E M DR BARROS FRANCO'!D21</f>
        <v/>
      </c>
    </row>
    <row r="699" ht="15" customHeight="1" s="163">
      <c r="A699" s="319">
        <f>'E M DR BARROS FRANCO'!I22</f>
        <v/>
      </c>
      <c r="B699" s="320">
        <f>'E M DR BARROS FRANCO'!D22</f>
        <v/>
      </c>
    </row>
    <row r="700" ht="15" customHeight="1" s="163">
      <c r="A700" s="319">
        <f>'E M DR BARROS FRANCO'!I23</f>
        <v/>
      </c>
      <c r="B700" s="320">
        <f>'E M DR BARROS FRANCO'!D23</f>
        <v/>
      </c>
    </row>
    <row r="701" ht="15" customHeight="1" s="163">
      <c r="A701" s="319">
        <f>'E M DR BARROS FRANCO'!I24</f>
        <v/>
      </c>
      <c r="B701" s="320">
        <f>'E M DR BARROS FRANCO'!D24</f>
        <v/>
      </c>
    </row>
    <row r="702" ht="15" customHeight="1" s="163">
      <c r="A702" s="319">
        <f>'E M DR BARROS FRANCO'!I25</f>
        <v/>
      </c>
      <c r="B702" s="320">
        <f>'E M DR BARROS FRANCO'!D25</f>
        <v/>
      </c>
    </row>
    <row r="703" ht="15" customHeight="1" s="163">
      <c r="A703" s="319">
        <f>'E M DR BARROS FRANCO'!I26</f>
        <v/>
      </c>
      <c r="B703" s="320">
        <f>'E M DR BARROS FRANCO'!D26</f>
        <v/>
      </c>
    </row>
    <row r="704" ht="15" customHeight="1" s="163">
      <c r="A704" s="319">
        <f>'E M DR BARROS FRANCO'!I27</f>
        <v/>
      </c>
      <c r="B704" s="320">
        <f>'E M DR BARROS FRANCO'!D27</f>
        <v/>
      </c>
    </row>
    <row r="705" ht="15" customHeight="1" s="163">
      <c r="A705" s="319">
        <f>'E M MAJOR THEÓFILO DE CARVALHO'!I9</f>
        <v/>
      </c>
      <c r="B705" s="320">
        <f>'E M MAJOR THEÓFILO DE CARVALHO'!D9</f>
        <v/>
      </c>
    </row>
    <row r="706" ht="15" customHeight="1" s="163">
      <c r="A706" s="319">
        <f>'E M MAJOR THEÓFILO DE CARVALHO'!I10</f>
        <v/>
      </c>
      <c r="B706" s="320">
        <f>'E M MAJOR THEÓFILO DE CARVALHO'!D10</f>
        <v/>
      </c>
    </row>
    <row r="707" ht="15" customHeight="1" s="163">
      <c r="A707" s="319">
        <f>'E M MAJOR THEÓFILO DE CARVALHO'!I11</f>
        <v/>
      </c>
      <c r="B707" s="320">
        <f>'E M MAJOR THEÓFILO DE CARVALHO'!D11</f>
        <v/>
      </c>
    </row>
    <row r="708" ht="15" customHeight="1" s="163">
      <c r="A708" s="319">
        <f>'E M MAJOR THEÓFILO DE CARVALHO'!I12</f>
        <v/>
      </c>
      <c r="B708" s="320">
        <f>'E M MAJOR THEÓFILO DE CARVALHO'!D12</f>
        <v/>
      </c>
    </row>
    <row r="709" ht="15" customHeight="1" s="163">
      <c r="A709" s="319">
        <f>'E M MAJOR THEÓFILO DE CARVALHO'!I13</f>
        <v/>
      </c>
      <c r="B709" s="320">
        <f>'E M MAJOR THEÓFILO DE CARVALHO'!D13</f>
        <v/>
      </c>
    </row>
    <row r="710" ht="15" customHeight="1" s="163">
      <c r="A710" s="319">
        <f>'E M MAJOR THEÓFILO DE CARVALHO'!I14</f>
        <v/>
      </c>
      <c r="B710" s="320">
        <f>'E M MAJOR THEÓFILO DE CARVALHO'!D14</f>
        <v/>
      </c>
    </row>
    <row r="711" ht="15" customHeight="1" s="163">
      <c r="A711" s="319">
        <f>'E M MAJOR THEÓFILO DE CARVALHO'!I15</f>
        <v/>
      </c>
      <c r="B711" s="320">
        <f>'E M MAJOR THEÓFILO DE CARVALHO'!D15</f>
        <v/>
      </c>
    </row>
    <row r="712" ht="15" customHeight="1" s="163">
      <c r="A712" s="319">
        <f>'E M MAJOR THEÓFILO DE CARVALHO'!I16</f>
        <v/>
      </c>
      <c r="B712" s="320">
        <f>'E M MAJOR THEÓFILO DE CARVALHO'!D16</f>
        <v/>
      </c>
    </row>
    <row r="713" ht="15" customHeight="1" s="163">
      <c r="A713" s="319">
        <f>'E M MAJOR THEÓFILO DE CARVALHO'!I17</f>
        <v/>
      </c>
      <c r="B713" s="320">
        <f>'E M MAJOR THEÓFILO DE CARVALHO'!D17</f>
        <v/>
      </c>
    </row>
    <row r="714" ht="15" customHeight="1" s="163">
      <c r="A714" s="319">
        <f>'E M MAJOR THEÓFILO DE CARVALHO'!I18</f>
        <v/>
      </c>
      <c r="B714" s="320">
        <f>'E M MAJOR THEÓFILO DE CARVALHO'!D18</f>
        <v/>
      </c>
    </row>
    <row r="715" ht="15" customHeight="1" s="163">
      <c r="A715" s="319">
        <f>'E M MAJOR THEÓFILO DE CARVALHO'!I19</f>
        <v/>
      </c>
      <c r="B715" s="320">
        <f>'E M MAJOR THEÓFILO DE CARVALHO'!D19</f>
        <v/>
      </c>
    </row>
    <row r="716" ht="15" customHeight="1" s="163">
      <c r="A716" s="319">
        <f>'E M MAJOR THEÓFILO DE CARVALHO'!I20</f>
        <v/>
      </c>
      <c r="B716" s="320">
        <f>'E M MAJOR THEÓFILO DE CARVALHO'!D20</f>
        <v/>
      </c>
    </row>
    <row r="717" ht="15" customHeight="1" s="163">
      <c r="A717" s="319">
        <f>'E M MAJOR THEÓFILO DE CARVALHO'!I21</f>
        <v/>
      </c>
      <c r="B717" s="320">
        <f>'E M MAJOR THEÓFILO DE CARVALHO'!D21</f>
        <v/>
      </c>
    </row>
    <row r="718" ht="15" customHeight="1" s="163">
      <c r="A718" s="319">
        <f>'E M MAJOR THEÓFILO DE CARVALHO'!I22</f>
        <v/>
      </c>
      <c r="B718" s="320">
        <f>'E M MAJOR THEÓFILO DE CARVALHO'!D22</f>
        <v/>
      </c>
    </row>
    <row r="719" ht="15" customHeight="1" s="163">
      <c r="A719" s="319">
        <f>'E M MAJOR THEÓFILO DE CARVALHO'!I23</f>
        <v/>
      </c>
      <c r="B719" s="320">
        <f>'E M MAJOR THEÓFILO DE CARVALHO'!D23</f>
        <v/>
      </c>
    </row>
    <row r="720" ht="15" customHeight="1" s="163">
      <c r="A720" s="319">
        <f>'E M MAJOR THEÓFILO DE CARVALHO'!I24</f>
        <v/>
      </c>
      <c r="B720" s="320">
        <f>'E M MAJOR THEÓFILO DE CARVALHO'!D24</f>
        <v/>
      </c>
    </row>
    <row r="721" ht="15" customHeight="1" s="163">
      <c r="A721" s="319">
        <f>'E M MAJOR THEÓFILO DE CARVALHO'!I25</f>
        <v/>
      </c>
      <c r="B721" s="320">
        <f>'E M MAJOR THEÓFILO DE CARVALHO'!D25</f>
        <v/>
      </c>
    </row>
    <row r="722" ht="15" customHeight="1" s="163">
      <c r="A722" s="319">
        <f>'E M MAJOR THEÓFILO DE CARVALHO'!I26</f>
        <v/>
      </c>
      <c r="B722" s="320">
        <f>'E M MAJOR THEÓFILO DE CARVALHO'!D26</f>
        <v/>
      </c>
    </row>
    <row r="723" ht="15" customHeight="1" s="163">
      <c r="A723" s="319">
        <f>'E M MAJOR THEÓFILO DE CARVALHO'!I27</f>
        <v/>
      </c>
      <c r="B723" s="320">
        <f>'E M MAJOR THEÓFILO DE CARVALHO'!D27</f>
        <v/>
      </c>
    </row>
    <row r="724" ht="15" customHeight="1" s="163">
      <c r="A724" s="319">
        <f>'E M TAQUARIL'!I9</f>
        <v/>
      </c>
      <c r="B724" s="320">
        <f>'E M TAQUARIL'!D9</f>
        <v/>
      </c>
    </row>
    <row r="725" ht="15" customHeight="1" s="163">
      <c r="A725" s="319">
        <f>'E M TAQUARIL'!I10</f>
        <v/>
      </c>
      <c r="B725" s="320">
        <f>'E M TAQUARIL'!D10</f>
        <v/>
      </c>
    </row>
    <row r="726" ht="15" customHeight="1" s="163">
      <c r="A726" s="319">
        <f>'E M TAQUARIL'!I11</f>
        <v/>
      </c>
      <c r="B726" s="320">
        <f>'E M TAQUARIL'!D11</f>
        <v/>
      </c>
    </row>
    <row r="727" ht="15" customHeight="1" s="163">
      <c r="A727" s="319">
        <f>'E M TAQUARIL'!I12</f>
        <v/>
      </c>
      <c r="B727" s="320">
        <f>'E M TAQUARIL'!D12</f>
        <v/>
      </c>
    </row>
    <row r="728" ht="15" customHeight="1" s="163">
      <c r="A728" s="319">
        <f>'E M TAQUARIL'!I13</f>
        <v/>
      </c>
      <c r="B728" s="320">
        <f>'E M TAQUARIL'!D13</f>
        <v/>
      </c>
    </row>
    <row r="729" ht="15" customHeight="1" s="163">
      <c r="A729" s="319">
        <f>'E M TAQUARIL'!I14</f>
        <v/>
      </c>
      <c r="B729" s="320">
        <f>'E M TAQUARIL'!D14</f>
        <v/>
      </c>
    </row>
    <row r="730" ht="15" customHeight="1" s="163">
      <c r="A730" s="319">
        <f>'E M TAQUARIL'!I15</f>
        <v/>
      </c>
      <c r="B730" s="320">
        <f>'E M TAQUARIL'!D15</f>
        <v/>
      </c>
    </row>
    <row r="731" ht="15" customHeight="1" s="163">
      <c r="A731" s="319">
        <f>'E M TAQUARIL'!I16</f>
        <v/>
      </c>
      <c r="B731" s="320">
        <f>'E M TAQUARIL'!D16</f>
        <v/>
      </c>
    </row>
    <row r="732" ht="15" customHeight="1" s="163">
      <c r="A732" s="319">
        <f>'E M TAQUARIL'!I17</f>
        <v/>
      </c>
      <c r="B732" s="320">
        <f>'E M TAQUARIL'!D17</f>
        <v/>
      </c>
    </row>
    <row r="733" ht="15" customHeight="1" s="163">
      <c r="A733" s="319">
        <f>'E M TAQUARIL'!I18</f>
        <v/>
      </c>
      <c r="B733" s="320">
        <f>'E M TAQUARIL'!D18</f>
        <v/>
      </c>
    </row>
    <row r="734" ht="15" customHeight="1" s="163">
      <c r="A734" s="319">
        <f>'E M TAQUARIL'!I19</f>
        <v/>
      </c>
      <c r="B734" s="320">
        <f>'E M TAQUARIL'!D19</f>
        <v/>
      </c>
    </row>
    <row r="735" ht="15" customHeight="1" s="163">
      <c r="A735" s="319">
        <f>'E M TAQUARIL'!I20</f>
        <v/>
      </c>
      <c r="B735" s="320">
        <f>'E M TAQUARIL'!D20</f>
        <v/>
      </c>
    </row>
    <row r="736" ht="15" customHeight="1" s="163">
      <c r="A736" s="319">
        <f>'E M TAQUARIL'!I21</f>
        <v/>
      </c>
      <c r="B736" s="320">
        <f>'E M TAQUARIL'!D21</f>
        <v/>
      </c>
    </row>
    <row r="737" ht="15" customHeight="1" s="163">
      <c r="A737" s="319">
        <f>'E M TAQUARIL'!I22</f>
        <v/>
      </c>
      <c r="B737" s="320">
        <f>'E M TAQUARIL'!D22</f>
        <v/>
      </c>
    </row>
    <row r="738" ht="15" customHeight="1" s="163">
      <c r="A738" s="319">
        <f>'E M TAQUARIL'!I23</f>
        <v/>
      </c>
      <c r="B738" s="320">
        <f>'E M TAQUARIL'!D23</f>
        <v/>
      </c>
    </row>
    <row r="739" ht="15" customHeight="1" s="163">
      <c r="A739" s="319">
        <f>'E M TAQUARIL'!I24</f>
        <v/>
      </c>
      <c r="B739" s="320">
        <f>'E M TAQUARIL'!D24</f>
        <v/>
      </c>
    </row>
    <row r="740" ht="15" customHeight="1" s="163">
      <c r="A740" s="319">
        <f>'E M TAQUARIL'!I25</f>
        <v/>
      </c>
      <c r="B740" s="320">
        <f>'E M TAQUARIL'!D25</f>
        <v/>
      </c>
    </row>
    <row r="741" ht="15" customHeight="1" s="163">
      <c r="A741" s="319">
        <f>'E M TAQUARIL'!I26</f>
        <v/>
      </c>
      <c r="B741" s="320">
        <f>'E M TAQUARIL'!D26</f>
        <v/>
      </c>
    </row>
    <row r="742" ht="15" customHeight="1" s="163">
      <c r="A742" s="319">
        <f>'E M TAQUARIL'!I27</f>
        <v/>
      </c>
      <c r="B742" s="320">
        <f>'E M TAQUARIL'!D27</f>
        <v/>
      </c>
    </row>
    <row r="743" ht="15" customHeight="1" s="163">
      <c r="A743" s="319">
        <f>'E M BEATRIZ ZALESKI'!I9</f>
        <v/>
      </c>
      <c r="B743" s="320">
        <f>'E M BEATRIZ ZALESKI'!D9</f>
        <v/>
      </c>
    </row>
    <row r="744" ht="15" customHeight="1" s="163">
      <c r="A744" s="319">
        <f>'E M BEATRIZ ZALESKI'!I10</f>
        <v/>
      </c>
      <c r="B744" s="320">
        <f>'E M BEATRIZ ZALESKI'!D10</f>
        <v/>
      </c>
    </row>
    <row r="745" ht="15" customHeight="1" s="163">
      <c r="A745" s="319">
        <f>'E M BEATRIZ ZALESKI'!I11</f>
        <v/>
      </c>
      <c r="B745" s="320">
        <f>'E M BEATRIZ ZALESKI'!D11</f>
        <v/>
      </c>
    </row>
    <row r="746" ht="15" customHeight="1" s="163">
      <c r="A746" s="319">
        <f>'E M BEATRIZ ZALESKI'!I12</f>
        <v/>
      </c>
      <c r="B746" s="320">
        <f>'E M BEATRIZ ZALESKI'!D12</f>
        <v/>
      </c>
    </row>
    <row r="747" ht="15" customHeight="1" s="163">
      <c r="A747" s="319">
        <f>'E M BEATRIZ ZALESKI'!I13</f>
        <v/>
      </c>
      <c r="B747" s="320">
        <f>'E M BEATRIZ ZALESKI'!D13</f>
        <v/>
      </c>
    </row>
    <row r="748" ht="15" customHeight="1" s="163">
      <c r="A748" s="319">
        <f>'E M BEATRIZ ZALESKI'!I14</f>
        <v/>
      </c>
      <c r="B748" s="320">
        <f>'E M BEATRIZ ZALESKI'!D14</f>
        <v/>
      </c>
    </row>
    <row r="749" ht="15" customHeight="1" s="163">
      <c r="A749" s="319">
        <f>'E M BEATRIZ ZALESKI'!I15</f>
        <v/>
      </c>
      <c r="B749" s="320">
        <f>'E M BEATRIZ ZALESKI'!D15</f>
        <v/>
      </c>
    </row>
    <row r="750" ht="15" customHeight="1" s="163">
      <c r="A750" s="319">
        <f>'E M BEATRIZ ZALESKI'!I16</f>
        <v/>
      </c>
      <c r="B750" s="320">
        <f>'E M BEATRIZ ZALESKI'!D16</f>
        <v/>
      </c>
    </row>
    <row r="751" ht="15" customHeight="1" s="163">
      <c r="A751" s="319">
        <f>'E M BEATRIZ ZALESKI'!I17</f>
        <v/>
      </c>
      <c r="B751" s="320">
        <f>'E M BEATRIZ ZALESKI'!D17</f>
        <v/>
      </c>
    </row>
    <row r="752" ht="15" customHeight="1" s="163">
      <c r="A752" s="319">
        <f>'E M BEATRIZ ZALESKI'!I18</f>
        <v/>
      </c>
      <c r="B752" s="320">
        <f>'E M BEATRIZ ZALESKI'!D18</f>
        <v/>
      </c>
    </row>
    <row r="753" ht="15" customHeight="1" s="163">
      <c r="A753" s="319">
        <f>'E M BEATRIZ ZALESKI'!I19</f>
        <v/>
      </c>
      <c r="B753" s="320">
        <f>'E M BEATRIZ ZALESKI'!D19</f>
        <v/>
      </c>
    </row>
    <row r="754" ht="15" customHeight="1" s="163">
      <c r="A754" s="319">
        <f>'E M BEATRIZ ZALESKI'!I20</f>
        <v/>
      </c>
      <c r="B754" s="320">
        <f>'E M BEATRIZ ZALESKI'!D20</f>
        <v/>
      </c>
    </row>
    <row r="755" ht="15" customHeight="1" s="163">
      <c r="A755" s="319">
        <f>'E M BEATRIZ ZALESKI'!I21</f>
        <v/>
      </c>
      <c r="B755" s="320">
        <f>'E M BEATRIZ ZALESKI'!D21</f>
        <v/>
      </c>
    </row>
    <row r="756" ht="15" customHeight="1" s="163">
      <c r="A756" s="319">
        <f>'E M BEATRIZ ZALESKI'!I22</f>
        <v/>
      </c>
      <c r="B756" s="320">
        <f>'E M BEATRIZ ZALESKI'!D22</f>
        <v/>
      </c>
    </row>
    <row r="757" ht="15" customHeight="1" s="163">
      <c r="A757" s="319">
        <f>'E M BEATRIZ ZALESKI'!I23</f>
        <v/>
      </c>
      <c r="B757" s="320">
        <f>'E M BEATRIZ ZALESKI'!D23</f>
        <v/>
      </c>
    </row>
    <row r="758" ht="15" customHeight="1" s="163">
      <c r="A758" s="319">
        <f>'E M BEATRIZ ZALESKI'!I24</f>
        <v/>
      </c>
      <c r="B758" s="320">
        <f>'E M BEATRIZ ZALESKI'!D24</f>
        <v/>
      </c>
    </row>
    <row r="759" ht="15" customHeight="1" s="163">
      <c r="A759" s="319">
        <f>'E M BEATRIZ ZALESKI'!I25</f>
        <v/>
      </c>
      <c r="B759" s="320">
        <f>'E M BEATRIZ ZALESKI'!D25</f>
        <v/>
      </c>
    </row>
    <row r="760" ht="15" customHeight="1" s="163">
      <c r="A760" s="319">
        <f>'E M BEATRIZ ZALESKI'!I26</f>
        <v/>
      </c>
      <c r="B760" s="320">
        <f>'E M BEATRIZ ZALESKI'!D26</f>
        <v/>
      </c>
    </row>
    <row r="761" ht="15" customHeight="1" s="163">
      <c r="A761" s="319">
        <f>'E M BEATRIZ ZALESKI'!I27</f>
        <v/>
      </c>
      <c r="B761" s="320">
        <f>'E M BEATRIZ ZALESKI'!D27</f>
        <v/>
      </c>
    </row>
    <row r="762" ht="15" customHeight="1" s="163">
      <c r="A762" s="319">
        <f>'E M ANTÔNIO JOSÉ DE LIMA'!I9</f>
        <v/>
      </c>
      <c r="B762" s="320">
        <f>'E M ANTÔNIO JOSÉ DE LIMA'!D9</f>
        <v/>
      </c>
    </row>
    <row r="763" ht="15" customHeight="1" s="163">
      <c r="A763" s="319">
        <f>'E M ANTÔNIO JOSÉ DE LIMA'!I10</f>
        <v/>
      </c>
      <c r="B763" s="320">
        <f>'E M ANTÔNIO JOSÉ DE LIMA'!D10</f>
        <v/>
      </c>
    </row>
    <row r="764" ht="15" customHeight="1" s="163">
      <c r="A764" s="319">
        <f>'E M ANTÔNIO JOSÉ DE LIMA'!I11</f>
        <v/>
      </c>
      <c r="B764" s="320">
        <f>'E M ANTÔNIO JOSÉ DE LIMA'!D11</f>
        <v/>
      </c>
    </row>
    <row r="765" ht="15" customHeight="1" s="163">
      <c r="A765" s="319">
        <f>'E M ANTÔNIO JOSÉ DE LIMA'!I12</f>
        <v/>
      </c>
      <c r="B765" s="320">
        <f>'E M ANTÔNIO JOSÉ DE LIMA'!D12</f>
        <v/>
      </c>
    </row>
    <row r="766" ht="15" customHeight="1" s="163">
      <c r="A766" s="319">
        <f>'E M ANTÔNIO JOSÉ DE LIMA'!I13</f>
        <v/>
      </c>
      <c r="B766" s="320">
        <f>'E M ANTÔNIO JOSÉ DE LIMA'!D13</f>
        <v/>
      </c>
    </row>
    <row r="767" ht="15" customHeight="1" s="163">
      <c r="A767" s="319">
        <f>'E M ANTÔNIO JOSÉ DE LIMA'!I14</f>
        <v/>
      </c>
      <c r="B767" s="320">
        <f>'E M ANTÔNIO JOSÉ DE LIMA'!D14</f>
        <v/>
      </c>
    </row>
    <row r="768" ht="15" customHeight="1" s="163">
      <c r="A768" s="319">
        <f>'E M ANTÔNIO JOSÉ DE LIMA'!I15</f>
        <v/>
      </c>
      <c r="B768" s="320">
        <f>'E M ANTÔNIO JOSÉ DE LIMA'!D15</f>
        <v/>
      </c>
    </row>
    <row r="769" ht="15" customHeight="1" s="163">
      <c r="A769" s="319">
        <f>'E M ANTÔNIO JOSÉ DE LIMA'!I16</f>
        <v/>
      </c>
      <c r="B769" s="320">
        <f>'E M ANTÔNIO JOSÉ DE LIMA'!D16</f>
        <v/>
      </c>
    </row>
    <row r="770" ht="15" customHeight="1" s="163">
      <c r="A770" s="319">
        <f>'E M ANTÔNIO JOSÉ DE LIMA'!I17</f>
        <v/>
      </c>
      <c r="B770" s="320">
        <f>'E M ANTÔNIO JOSÉ DE LIMA'!D17</f>
        <v/>
      </c>
    </row>
    <row r="771" ht="15" customHeight="1" s="163">
      <c r="A771" s="319">
        <f>'E M ANTÔNIO JOSÉ DE LIMA'!I18</f>
        <v/>
      </c>
      <c r="B771" s="320">
        <f>'E M ANTÔNIO JOSÉ DE LIMA'!D18</f>
        <v/>
      </c>
    </row>
    <row r="772" ht="15" customHeight="1" s="163">
      <c r="A772" s="319">
        <f>'E M ANTÔNIO JOSÉ DE LIMA'!I19</f>
        <v/>
      </c>
      <c r="B772" s="320">
        <f>'E M ANTÔNIO JOSÉ DE LIMA'!D19</f>
        <v/>
      </c>
    </row>
    <row r="773" ht="15" customHeight="1" s="163">
      <c r="A773" s="319">
        <f>'E M ANTÔNIO JOSÉ DE LIMA'!I20</f>
        <v/>
      </c>
      <c r="B773" s="320">
        <f>'E M ANTÔNIO JOSÉ DE LIMA'!D20</f>
        <v/>
      </c>
    </row>
    <row r="774" ht="15" customHeight="1" s="163">
      <c r="A774" s="319">
        <f>'E M ANTÔNIO JOSÉ DE LIMA'!I21</f>
        <v/>
      </c>
      <c r="B774" s="320">
        <f>'E M ANTÔNIO JOSÉ DE LIMA'!D21</f>
        <v/>
      </c>
    </row>
    <row r="775" ht="15" customHeight="1" s="163">
      <c r="A775" s="319">
        <f>'E M ANTÔNIO JOSÉ DE LIMA'!I22</f>
        <v/>
      </c>
      <c r="B775" s="320">
        <f>'E M ANTÔNIO JOSÉ DE LIMA'!D22</f>
        <v/>
      </c>
    </row>
    <row r="776" ht="15" customHeight="1" s="163">
      <c r="A776" s="319">
        <f>'E M ANTÔNIO JOSÉ DE LIMA'!I23</f>
        <v/>
      </c>
      <c r="B776" s="320">
        <f>'E M ANTÔNIO JOSÉ DE LIMA'!D23</f>
        <v/>
      </c>
    </row>
    <row r="777" ht="15" customHeight="1" s="163">
      <c r="A777" s="319">
        <f>'E M ANTÔNIO JOSÉ DE LIMA'!I24</f>
        <v/>
      </c>
      <c r="B777" s="320">
        <f>'E M ANTÔNIO JOSÉ DE LIMA'!D24</f>
        <v/>
      </c>
    </row>
    <row r="778" ht="15" customHeight="1" s="163">
      <c r="A778" s="319">
        <f>'E M ANTÔNIO JOSÉ DE LIMA'!I25</f>
        <v/>
      </c>
      <c r="B778" s="320">
        <f>'E M ANTÔNIO JOSÉ DE LIMA'!D25</f>
        <v/>
      </c>
    </row>
    <row r="779" ht="15" customHeight="1" s="163">
      <c r="A779" s="319">
        <f>'E M ANTÔNIO JOSÉ DE LIMA'!I26</f>
        <v/>
      </c>
      <c r="B779" s="320">
        <f>'E M ANTÔNIO JOSÉ DE LIMA'!D26</f>
        <v/>
      </c>
    </row>
    <row r="780" ht="15" customHeight="1" s="163">
      <c r="A780" s="319">
        <f>'E M ANTÔNIO JOSÉ DE LIMA'!I27</f>
        <v/>
      </c>
      <c r="B780" s="320">
        <f>'E M ANTÔNIO JOSÉ DE LIMA'!D27</f>
        <v/>
      </c>
    </row>
    <row r="781" ht="15" customHeight="1" s="163">
      <c r="A781" s="319">
        <f>'E M FELIX WAN ERVEN DE BARROS'!I9</f>
        <v/>
      </c>
      <c r="B781" s="320">
        <f>'E M FELIX WAN ERVEN DE BARROS'!D9</f>
        <v/>
      </c>
    </row>
    <row r="782" ht="15" customHeight="1" s="163">
      <c r="A782" s="319">
        <f>'E M FELIX WAN ERVEN DE BARROS'!I10</f>
        <v/>
      </c>
      <c r="B782" s="320">
        <f>'E M FELIX WAN ERVEN DE BARROS'!D10</f>
        <v/>
      </c>
    </row>
    <row r="783" ht="15" customHeight="1" s="163">
      <c r="A783" s="319">
        <f>'E M FELIX WAN ERVEN DE BARROS'!I11</f>
        <v/>
      </c>
      <c r="B783" s="320">
        <f>'E M FELIX WAN ERVEN DE BARROS'!D11</f>
        <v/>
      </c>
    </row>
    <row r="784" ht="15" customHeight="1" s="163">
      <c r="A784" s="319">
        <f>'E M FELIX WAN ERVEN DE BARROS'!I12</f>
        <v/>
      </c>
      <c r="B784" s="320">
        <f>'E M FELIX WAN ERVEN DE BARROS'!D12</f>
        <v/>
      </c>
    </row>
    <row r="785" ht="15" customHeight="1" s="163">
      <c r="A785" s="319">
        <f>'E M FELIX WAN ERVEN DE BARROS'!I13</f>
        <v/>
      </c>
      <c r="B785" s="320">
        <f>'E M FELIX WAN ERVEN DE BARROS'!D13</f>
        <v/>
      </c>
    </row>
    <row r="786" ht="15" customHeight="1" s="163">
      <c r="A786" s="319">
        <f>'E M FELIX WAN ERVEN DE BARROS'!I14</f>
        <v/>
      </c>
      <c r="B786" s="320">
        <f>'E M FELIX WAN ERVEN DE BARROS'!D14</f>
        <v/>
      </c>
    </row>
    <row r="787" ht="15" customHeight="1" s="163">
      <c r="A787" s="319">
        <f>'E M FELIX WAN ERVEN DE BARROS'!I15</f>
        <v/>
      </c>
      <c r="B787" s="320">
        <f>'E M FELIX WAN ERVEN DE BARROS'!D15</f>
        <v/>
      </c>
    </row>
    <row r="788" ht="15" customHeight="1" s="163">
      <c r="A788" s="319">
        <f>'E M FELIX WAN ERVEN DE BARROS'!I16</f>
        <v/>
      </c>
      <c r="B788" s="320">
        <f>'E M FELIX WAN ERVEN DE BARROS'!D16</f>
        <v/>
      </c>
    </row>
    <row r="789" ht="15" customHeight="1" s="163">
      <c r="A789" s="319">
        <f>'E M FELIX WAN ERVEN DE BARROS'!I17</f>
        <v/>
      </c>
      <c r="B789" s="320">
        <f>'E M FELIX WAN ERVEN DE BARROS'!D17</f>
        <v/>
      </c>
    </row>
    <row r="790" ht="15" customHeight="1" s="163">
      <c r="A790" s="319">
        <f>'E M FELIX WAN ERVEN DE BARROS'!I18</f>
        <v/>
      </c>
      <c r="B790" s="320">
        <f>'E M FELIX WAN ERVEN DE BARROS'!D18</f>
        <v/>
      </c>
    </row>
    <row r="791" ht="15" customHeight="1" s="163">
      <c r="A791" s="319">
        <f>'E M FELIX WAN ERVEN DE BARROS'!I19</f>
        <v/>
      </c>
      <c r="B791" s="320">
        <f>'E M FELIX WAN ERVEN DE BARROS'!D19</f>
        <v/>
      </c>
    </row>
    <row r="792" ht="15" customHeight="1" s="163">
      <c r="A792" s="319">
        <f>'E M FELIX WAN ERVEN DE BARROS'!I20</f>
        <v/>
      </c>
      <c r="B792" s="320">
        <f>'E M FELIX WAN ERVEN DE BARROS'!D20</f>
        <v/>
      </c>
    </row>
    <row r="793" ht="15" customHeight="1" s="163">
      <c r="A793" s="319">
        <f>'E M FELIX WAN ERVEN DE BARROS'!I21</f>
        <v/>
      </c>
      <c r="B793" s="320">
        <f>'E M FELIX WAN ERVEN DE BARROS'!D21</f>
        <v/>
      </c>
    </row>
    <row r="794" ht="15" customHeight="1" s="163">
      <c r="A794" s="319">
        <f>'E M FELIX WAN ERVEN DE BARROS'!I22</f>
        <v/>
      </c>
      <c r="B794" s="320">
        <f>'E M FELIX WAN ERVEN DE BARROS'!D22</f>
        <v/>
      </c>
    </row>
    <row r="795" ht="15" customHeight="1" s="163">
      <c r="A795" s="319">
        <f>'E M FELIX WAN ERVEN DE BARROS'!I23</f>
        <v/>
      </c>
      <c r="B795" s="320">
        <f>'E M FELIX WAN ERVEN DE BARROS'!D23</f>
        <v/>
      </c>
    </row>
    <row r="796" ht="15" customHeight="1" s="163">
      <c r="A796" s="319">
        <f>'E M FELIX WAN ERVEN DE BARROS'!I24</f>
        <v/>
      </c>
      <c r="B796" s="320">
        <f>'E M FELIX WAN ERVEN DE BARROS'!D24</f>
        <v/>
      </c>
    </row>
    <row r="797" ht="15" customHeight="1" s="163">
      <c r="A797" s="319">
        <f>'E M FELIX WAN ERVEN DE BARROS'!I25</f>
        <v/>
      </c>
      <c r="B797" s="320">
        <f>'E M FELIX WAN ERVEN DE BARROS'!D25</f>
        <v/>
      </c>
    </row>
    <row r="798" ht="15" customHeight="1" s="163">
      <c r="A798" s="319">
        <f>'E M FELIX WAN ERVEN DE BARROS'!I26</f>
        <v/>
      </c>
      <c r="B798" s="320">
        <f>'E M FELIX WAN ERVEN DE BARROS'!D26</f>
        <v/>
      </c>
    </row>
    <row r="799" ht="15" customHeight="1" s="163">
      <c r="A799" s="319">
        <f>'E M FELIX WAN ERVEN DE BARROS'!I27</f>
        <v/>
      </c>
      <c r="B799" s="320">
        <f>'E M FELIX WAN ERVEN DE BARROS'!D27</f>
        <v/>
      </c>
    </row>
    <row r="800" ht="15" customHeight="1" s="163">
      <c r="A800" s="319">
        <f>'ESCOLA MUNICIPAL HILDEBRANDO DE'!I9</f>
        <v/>
      </c>
      <c r="B800" s="320">
        <f>'ESCOLA MUNICIPAL HILDEBRANDO DE'!D9</f>
        <v/>
      </c>
    </row>
    <row r="801" ht="15" customHeight="1" s="163">
      <c r="A801" s="319">
        <f>'ESCOLA MUNICIPAL HILDEBRANDO DE'!I10</f>
        <v/>
      </c>
      <c r="B801" s="320">
        <f>'ESCOLA MUNICIPAL HILDEBRANDO DE'!D10</f>
        <v/>
      </c>
    </row>
    <row r="802" ht="15" customHeight="1" s="163">
      <c r="A802" s="319">
        <f>'ESCOLA MUNICIPAL HILDEBRANDO DE'!I11</f>
        <v/>
      </c>
      <c r="B802" s="320">
        <f>'ESCOLA MUNICIPAL HILDEBRANDO DE'!D11</f>
        <v/>
      </c>
    </row>
    <row r="803" ht="15" customHeight="1" s="163">
      <c r="A803" s="319">
        <f>'ESCOLA MUNICIPAL HILDEBRANDO DE'!I12</f>
        <v/>
      </c>
      <c r="B803" s="320">
        <f>'ESCOLA MUNICIPAL HILDEBRANDO DE'!D12</f>
        <v/>
      </c>
    </row>
    <row r="804" ht="15" customHeight="1" s="163">
      <c r="A804" s="319">
        <f>'ESCOLA MUNICIPAL HILDEBRANDO DE'!I13</f>
        <v/>
      </c>
      <c r="B804" s="320">
        <f>'ESCOLA MUNICIPAL HILDEBRANDO DE'!D13</f>
        <v/>
      </c>
    </row>
    <row r="805" ht="15" customHeight="1" s="163">
      <c r="A805" s="319">
        <f>'ESCOLA MUNICIPAL HILDEBRANDO DE'!I14</f>
        <v/>
      </c>
      <c r="B805" s="320">
        <f>'ESCOLA MUNICIPAL HILDEBRANDO DE'!D14</f>
        <v/>
      </c>
    </row>
    <row r="806" ht="15" customHeight="1" s="163">
      <c r="A806" s="319">
        <f>'ESCOLA MUNICIPAL HILDEBRANDO DE'!I15</f>
        <v/>
      </c>
      <c r="B806" s="320">
        <f>'ESCOLA MUNICIPAL HILDEBRANDO DE'!D15</f>
        <v/>
      </c>
    </row>
    <row r="807" ht="15" customHeight="1" s="163">
      <c r="A807" s="319">
        <f>'ESCOLA MUNICIPAL HILDEBRANDO DE'!I16</f>
        <v/>
      </c>
      <c r="B807" s="320">
        <f>'ESCOLA MUNICIPAL HILDEBRANDO DE'!D16</f>
        <v/>
      </c>
    </row>
    <row r="808" ht="15" customHeight="1" s="163">
      <c r="A808" s="319">
        <f>'ESCOLA MUNICIPAL HILDEBRANDO DE'!I17</f>
        <v/>
      </c>
      <c r="B808" s="320">
        <f>'ESCOLA MUNICIPAL HILDEBRANDO DE'!D17</f>
        <v/>
      </c>
    </row>
    <row r="809" ht="15" customHeight="1" s="163">
      <c r="A809" s="319">
        <f>'ESCOLA MUNICIPAL HILDEBRANDO DE'!I18</f>
        <v/>
      </c>
      <c r="B809" s="320">
        <f>'ESCOLA MUNICIPAL HILDEBRANDO DE'!D18</f>
        <v/>
      </c>
    </row>
    <row r="810" ht="15" customHeight="1" s="163">
      <c r="A810" s="319">
        <f>'ESCOLA MUNICIPAL HILDEBRANDO DE'!I19</f>
        <v/>
      </c>
      <c r="B810" s="320">
        <f>'ESCOLA MUNICIPAL HILDEBRANDO DE'!D19</f>
        <v/>
      </c>
    </row>
    <row r="811" ht="15" customHeight="1" s="163">
      <c r="A811" s="319">
        <f>'ESCOLA MUNICIPAL HILDEBRANDO DE'!I20</f>
        <v/>
      </c>
      <c r="B811" s="320">
        <f>'ESCOLA MUNICIPAL HILDEBRANDO DE'!D20</f>
        <v/>
      </c>
    </row>
    <row r="812" ht="15" customHeight="1" s="163">
      <c r="A812" s="319">
        <f>'ESCOLA MUNICIPAL HILDEBRANDO DE'!I21</f>
        <v/>
      </c>
      <c r="B812" s="320">
        <f>'ESCOLA MUNICIPAL HILDEBRANDO DE'!D21</f>
        <v/>
      </c>
    </row>
    <row r="813" ht="15" customHeight="1" s="163">
      <c r="A813" s="319">
        <f>'ESCOLA MUNICIPAL HILDEBRANDO DE'!I22</f>
        <v/>
      </c>
      <c r="B813" s="320">
        <f>'ESCOLA MUNICIPAL HILDEBRANDO DE'!D22</f>
        <v/>
      </c>
    </row>
    <row r="814" ht="15" customHeight="1" s="163">
      <c r="A814" s="319">
        <f>'ESCOLA MUNICIPAL HILDEBRANDO DE'!I23</f>
        <v/>
      </c>
      <c r="B814" s="320">
        <f>'ESCOLA MUNICIPAL HILDEBRANDO DE'!D23</f>
        <v/>
      </c>
    </row>
    <row r="815" ht="15" customHeight="1" s="163">
      <c r="A815" s="319">
        <f>'ESCOLA MUNICIPAL HILDEBRANDO DE'!I24</f>
        <v/>
      </c>
      <c r="B815" s="320">
        <f>'ESCOLA MUNICIPAL HILDEBRANDO DE'!D24</f>
        <v/>
      </c>
    </row>
    <row r="816" ht="15" customHeight="1" s="163">
      <c r="A816" s="319">
        <f>'ESCOLA MUNICIPAL HILDEBRANDO DE'!I25</f>
        <v/>
      </c>
      <c r="B816" s="320">
        <f>'ESCOLA MUNICIPAL HILDEBRANDO DE'!D25</f>
        <v/>
      </c>
    </row>
    <row r="817" ht="15" customHeight="1" s="163">
      <c r="A817" s="319">
        <f>'ESCOLA MUNICIPAL HILDEBRANDO DE'!I26</f>
        <v/>
      </c>
      <c r="B817" s="320">
        <f>'ESCOLA MUNICIPAL HILDEBRANDO DE'!D26</f>
        <v/>
      </c>
    </row>
    <row r="818" ht="15" customHeight="1" s="163">
      <c r="A818" s="319">
        <f>'ESCOLA MUNICIPAL HILDEBRANDO DE'!I27</f>
        <v/>
      </c>
      <c r="B818" s="320">
        <f>'ESCOLA MUNICIPAL HILDEBRANDO DE'!D27</f>
        <v/>
      </c>
    </row>
    <row r="819" ht="15" customHeight="1" s="163">
      <c r="A819" s="319">
        <f>'E M OSWALDO DA COSTA FRIAS'!I9</f>
        <v/>
      </c>
      <c r="B819" s="320">
        <f>'E M OSWALDO DA COSTA FRIAS'!D9</f>
        <v/>
      </c>
    </row>
    <row r="820" ht="15" customHeight="1" s="163">
      <c r="A820" s="319">
        <f>'E M OSWALDO DA COSTA FRIAS'!I10</f>
        <v/>
      </c>
      <c r="B820" s="320">
        <f>'E M OSWALDO DA COSTA FRIAS'!D10</f>
        <v/>
      </c>
    </row>
    <row r="821" ht="15" customHeight="1" s="163">
      <c r="A821" s="319">
        <f>'E M OSWALDO DA COSTA FRIAS'!I11</f>
        <v/>
      </c>
      <c r="B821" s="320">
        <f>'E M OSWALDO DA COSTA FRIAS'!D11</f>
        <v/>
      </c>
    </row>
    <row r="822" ht="15" customHeight="1" s="163">
      <c r="A822" s="319">
        <f>'E M OSWALDO DA COSTA FRIAS'!I12</f>
        <v/>
      </c>
      <c r="B822" s="320">
        <f>'E M OSWALDO DA COSTA FRIAS'!D12</f>
        <v/>
      </c>
    </row>
    <row r="823" ht="15" customHeight="1" s="163">
      <c r="A823" s="319">
        <f>'E M OSWALDO DA COSTA FRIAS'!I13</f>
        <v/>
      </c>
      <c r="B823" s="320">
        <f>'E M OSWALDO DA COSTA FRIAS'!D13</f>
        <v/>
      </c>
    </row>
    <row r="824" ht="15" customHeight="1" s="163">
      <c r="A824" s="319">
        <f>'E M OSWALDO DA COSTA FRIAS'!I14</f>
        <v/>
      </c>
      <c r="B824" s="320">
        <f>'E M OSWALDO DA COSTA FRIAS'!D14</f>
        <v/>
      </c>
    </row>
    <row r="825" ht="15" customHeight="1" s="163">
      <c r="A825" s="319">
        <f>'E M OSWALDO DA COSTA FRIAS'!I15</f>
        <v/>
      </c>
      <c r="B825" s="320">
        <f>'E M OSWALDO DA COSTA FRIAS'!D15</f>
        <v/>
      </c>
    </row>
    <row r="826" ht="15" customHeight="1" s="163">
      <c r="A826" s="319">
        <f>'E M OSWALDO DA COSTA FRIAS'!I16</f>
        <v/>
      </c>
      <c r="B826" s="320">
        <f>'E M OSWALDO DA COSTA FRIAS'!D16</f>
        <v/>
      </c>
    </row>
    <row r="827" ht="15" customHeight="1" s="163">
      <c r="A827" s="319">
        <f>'E M OSWALDO DA COSTA FRIAS'!I17</f>
        <v/>
      </c>
      <c r="B827" s="320">
        <f>'E M OSWALDO DA COSTA FRIAS'!D17</f>
        <v/>
      </c>
    </row>
    <row r="828" ht="15" customHeight="1" s="163">
      <c r="A828" s="319">
        <f>'E M OSWALDO DA COSTA FRIAS'!I18</f>
        <v/>
      </c>
      <c r="B828" s="320">
        <f>'E M OSWALDO DA COSTA FRIAS'!D18</f>
        <v/>
      </c>
    </row>
    <row r="829" ht="15" customHeight="1" s="163">
      <c r="A829" s="319">
        <f>'E M OSWALDO DA COSTA FRIAS'!I19</f>
        <v/>
      </c>
      <c r="B829" s="320">
        <f>'E M OSWALDO DA COSTA FRIAS'!D19</f>
        <v/>
      </c>
    </row>
    <row r="830" ht="15" customHeight="1" s="163">
      <c r="A830" s="319">
        <f>'E M OSWALDO DA COSTA FRIAS'!I20</f>
        <v/>
      </c>
      <c r="B830" s="320">
        <f>'E M OSWALDO DA COSTA FRIAS'!D20</f>
        <v/>
      </c>
    </row>
    <row r="831" ht="15" customHeight="1" s="163">
      <c r="A831" s="319">
        <f>'E M OSWALDO DA COSTA FRIAS'!I21</f>
        <v/>
      </c>
      <c r="B831" s="320">
        <f>'E M OSWALDO DA COSTA FRIAS'!D21</f>
        <v/>
      </c>
    </row>
    <row r="832" ht="15" customHeight="1" s="163">
      <c r="A832" s="319">
        <f>'E M OSWALDO DA COSTA FRIAS'!I22</f>
        <v/>
      </c>
      <c r="B832" s="320">
        <f>'E M OSWALDO DA COSTA FRIAS'!D22</f>
        <v/>
      </c>
    </row>
    <row r="833" ht="15" customHeight="1" s="163">
      <c r="A833" s="319">
        <f>'E M OSWALDO DA COSTA FRIAS'!I23</f>
        <v/>
      </c>
      <c r="B833" s="320">
        <f>'E M OSWALDO DA COSTA FRIAS'!D23</f>
        <v/>
      </c>
    </row>
    <row r="834" ht="15" customHeight="1" s="163">
      <c r="A834" s="319">
        <f>'E M OSWALDO DA COSTA FRIAS'!I24</f>
        <v/>
      </c>
      <c r="B834" s="320">
        <f>'E M OSWALDO DA COSTA FRIAS'!D24</f>
        <v/>
      </c>
    </row>
    <row r="835" ht="15" customHeight="1" s="163">
      <c r="A835" s="319">
        <f>'E M OSWALDO DA COSTA FRIAS'!I25</f>
        <v/>
      </c>
      <c r="B835" s="320">
        <f>'E M OSWALDO DA COSTA FRIAS'!D25</f>
        <v/>
      </c>
    </row>
    <row r="836" ht="15" customHeight="1" s="163">
      <c r="A836" s="319">
        <f>'E M OSWALDO DA COSTA FRIAS'!I26</f>
        <v/>
      </c>
      <c r="B836" s="320">
        <f>'E M OSWALDO DA COSTA FRIAS'!D26</f>
        <v/>
      </c>
    </row>
    <row r="837" ht="15" customHeight="1" s="163">
      <c r="A837" s="319">
        <f>'E M OSWALDO DA COSTA FRIAS'!I27</f>
        <v/>
      </c>
      <c r="B837" s="320">
        <f>'E M OSWALDO DA COSTA FRIAS'!D27</f>
        <v/>
      </c>
    </row>
    <row r="838" ht="15" customHeight="1" s="163">
      <c r="A838" s="319">
        <f>'E MZDA CARMEM NUNES MARTINS'!I9</f>
        <v/>
      </c>
      <c r="B838" s="320">
        <f>'E MZDA CARMEM NUNES MARTINS'!D9</f>
        <v/>
      </c>
    </row>
    <row r="839" ht="15" customHeight="1" s="163">
      <c r="A839" s="319">
        <f>'E MZDA CARMEM NUNES MARTINS'!I10</f>
        <v/>
      </c>
      <c r="B839" s="320">
        <f>'E MZDA CARMEM NUNES MARTINS'!D10</f>
        <v/>
      </c>
    </row>
    <row r="840" ht="15" customHeight="1" s="163">
      <c r="A840" s="319">
        <f>'E MZDA CARMEM NUNES MARTINS'!I11</f>
        <v/>
      </c>
      <c r="B840" s="320">
        <f>'E MZDA CARMEM NUNES MARTINS'!D11</f>
        <v/>
      </c>
    </row>
    <row r="841" ht="15" customHeight="1" s="163">
      <c r="A841" s="319">
        <f>'E MZDA CARMEM NUNES MARTINS'!I12</f>
        <v/>
      </c>
      <c r="B841" s="320">
        <f>'E MZDA CARMEM NUNES MARTINS'!D12</f>
        <v/>
      </c>
    </row>
    <row r="842" ht="15" customHeight="1" s="163">
      <c r="A842" s="319">
        <f>'E MZDA CARMEM NUNES MARTINS'!I13</f>
        <v/>
      </c>
      <c r="B842" s="320">
        <f>'E MZDA CARMEM NUNES MARTINS'!D13</f>
        <v/>
      </c>
    </row>
    <row r="843" ht="15" customHeight="1" s="163">
      <c r="A843" s="319">
        <f>'E MZDA CARMEM NUNES MARTINS'!I14</f>
        <v/>
      </c>
      <c r="B843" s="320">
        <f>'E MZDA CARMEM NUNES MARTINS'!D14</f>
        <v/>
      </c>
    </row>
    <row r="844" ht="15" customHeight="1" s="163">
      <c r="A844" s="319">
        <f>'E MZDA CARMEM NUNES MARTINS'!I15</f>
        <v/>
      </c>
      <c r="B844" s="320">
        <f>'E MZDA CARMEM NUNES MARTINS'!D15</f>
        <v/>
      </c>
    </row>
    <row r="845" ht="15" customHeight="1" s="163">
      <c r="A845" s="319">
        <f>'E MZDA CARMEM NUNES MARTINS'!I16</f>
        <v/>
      </c>
      <c r="B845" s="320">
        <f>'E MZDA CARMEM NUNES MARTINS'!D16</f>
        <v/>
      </c>
    </row>
    <row r="846" ht="15" customHeight="1" s="163">
      <c r="A846" s="319">
        <f>'E MZDA CARMEM NUNES MARTINS'!I17</f>
        <v/>
      </c>
      <c r="B846" s="320">
        <f>'E MZDA CARMEM NUNES MARTINS'!D17</f>
        <v/>
      </c>
    </row>
    <row r="847" ht="15" customHeight="1" s="163">
      <c r="A847" s="319">
        <f>'E MZDA CARMEM NUNES MARTINS'!I18</f>
        <v/>
      </c>
      <c r="B847" s="320">
        <f>'E MZDA CARMEM NUNES MARTINS'!D18</f>
        <v/>
      </c>
    </row>
    <row r="848" ht="15" customHeight="1" s="163">
      <c r="A848" s="319">
        <f>'E MZDA CARMEM NUNES MARTINS'!I19</f>
        <v/>
      </c>
      <c r="B848" s="320">
        <f>'E MZDA CARMEM NUNES MARTINS'!D19</f>
        <v/>
      </c>
    </row>
    <row r="849" ht="15" customHeight="1" s="163">
      <c r="A849" s="319">
        <f>'E MZDA CARMEM NUNES MARTINS'!I20</f>
        <v/>
      </c>
      <c r="B849" s="320">
        <f>'E MZDA CARMEM NUNES MARTINS'!D20</f>
        <v/>
      </c>
    </row>
    <row r="850" ht="15" customHeight="1" s="163">
      <c r="A850" s="319">
        <f>'E MZDA CARMEM NUNES MARTINS'!I21</f>
        <v/>
      </c>
      <c r="B850" s="320">
        <f>'E MZDA CARMEM NUNES MARTINS'!D21</f>
        <v/>
      </c>
    </row>
    <row r="851" ht="15" customHeight="1" s="163">
      <c r="A851" s="319">
        <f>'E MZDA CARMEM NUNES MARTINS'!I22</f>
        <v/>
      </c>
      <c r="B851" s="320">
        <f>'E MZDA CARMEM NUNES MARTINS'!D22</f>
        <v/>
      </c>
    </row>
    <row r="852" ht="15" customHeight="1" s="163">
      <c r="A852" s="319">
        <f>'E MZDA CARMEM NUNES MARTINS'!I23</f>
        <v/>
      </c>
      <c r="B852" s="320">
        <f>'E MZDA CARMEM NUNES MARTINS'!D23</f>
        <v/>
      </c>
    </row>
    <row r="853" ht="15" customHeight="1" s="163">
      <c r="A853" s="319">
        <f>'E MZDA CARMEM NUNES MARTINS'!I24</f>
        <v/>
      </c>
      <c r="B853" s="320">
        <f>'E MZDA CARMEM NUNES MARTINS'!D24</f>
        <v/>
      </c>
    </row>
    <row r="854" ht="15" customHeight="1" s="163">
      <c r="A854" s="319">
        <f>'E MZDA CARMEM NUNES MARTINS'!I25</f>
        <v/>
      </c>
      <c r="B854" s="320">
        <f>'E MZDA CARMEM NUNES MARTINS'!D25</f>
        <v/>
      </c>
    </row>
    <row r="855" ht="15" customHeight="1" s="163">
      <c r="A855" s="319">
        <f>'E MZDA CARMEM NUNES MARTINS'!I26</f>
        <v/>
      </c>
      <c r="B855" s="320">
        <f>'E MZDA CARMEM NUNES MARTINS'!D26</f>
        <v/>
      </c>
    </row>
    <row r="856" ht="15" customHeight="1" s="163">
      <c r="A856" s="319">
        <f>'E MZDA CARMEM NUNES MARTINS'!I27</f>
        <v/>
      </c>
      <c r="B856" s="320">
        <f>'E MZDA CARMEM NUNES MARTINS'!D27</f>
        <v/>
      </c>
    </row>
    <row r="857" ht="15" customHeight="1" s="163">
      <c r="A857" s="319">
        <f>'E MZDA AVELINO DE CARVALHO'!I9</f>
        <v/>
      </c>
      <c r="B857" s="320">
        <f>'E MZDA AVELINO DE CARVALHO'!D9</f>
        <v/>
      </c>
    </row>
    <row r="858" ht="15" customHeight="1" s="163">
      <c r="A858" s="319">
        <f>'E MZDA AVELINO DE CARVALHO'!I10</f>
        <v/>
      </c>
      <c r="B858" s="320">
        <f>'E MZDA AVELINO DE CARVALHO'!D10</f>
        <v/>
      </c>
    </row>
    <row r="859" ht="15" customHeight="1" s="163">
      <c r="A859" s="319">
        <f>'E MZDA AVELINO DE CARVALHO'!I11</f>
        <v/>
      </c>
      <c r="B859" s="320">
        <f>'E MZDA AVELINO DE CARVALHO'!D11</f>
        <v/>
      </c>
    </row>
    <row r="860" ht="15" customHeight="1" s="163">
      <c r="A860" s="319">
        <f>'E MZDA AVELINO DE CARVALHO'!I12</f>
        <v/>
      </c>
      <c r="B860" s="320">
        <f>'E MZDA AVELINO DE CARVALHO'!D12</f>
        <v/>
      </c>
    </row>
    <row r="861" ht="15" customHeight="1" s="163">
      <c r="A861" s="319">
        <f>'E MZDA AVELINO DE CARVALHO'!I13</f>
        <v/>
      </c>
      <c r="B861" s="320">
        <f>'E MZDA AVELINO DE CARVALHO'!D13</f>
        <v/>
      </c>
    </row>
    <row r="862" ht="15" customHeight="1" s="163">
      <c r="A862" s="319">
        <f>'E MZDA AVELINO DE CARVALHO'!I14</f>
        <v/>
      </c>
      <c r="B862" s="320">
        <f>'E MZDA AVELINO DE CARVALHO'!D14</f>
        <v/>
      </c>
    </row>
    <row r="863" ht="15" customHeight="1" s="163">
      <c r="A863" s="319">
        <f>'E MZDA AVELINO DE CARVALHO'!I15</f>
        <v/>
      </c>
      <c r="B863" s="320">
        <f>'E MZDA AVELINO DE CARVALHO'!D15</f>
        <v/>
      </c>
    </row>
    <row r="864" ht="15" customHeight="1" s="163">
      <c r="A864" s="319">
        <f>'E MZDA AVELINO DE CARVALHO'!I16</f>
        <v/>
      </c>
      <c r="B864" s="320">
        <f>'E MZDA AVELINO DE CARVALHO'!D16</f>
        <v/>
      </c>
    </row>
    <row r="865" ht="15" customHeight="1" s="163">
      <c r="A865" s="319">
        <f>'E MZDA AVELINO DE CARVALHO'!I17</f>
        <v/>
      </c>
      <c r="B865" s="320">
        <f>'E MZDA AVELINO DE CARVALHO'!D17</f>
        <v/>
      </c>
    </row>
    <row r="866" ht="15" customHeight="1" s="163">
      <c r="A866" s="319">
        <f>'E MZDA AVELINO DE CARVALHO'!I18</f>
        <v/>
      </c>
      <c r="B866" s="320">
        <f>'E MZDA AVELINO DE CARVALHO'!D18</f>
        <v/>
      </c>
    </row>
    <row r="867" ht="15" customHeight="1" s="163">
      <c r="A867" s="319">
        <f>'E MZDA AVELINO DE CARVALHO'!I19</f>
        <v/>
      </c>
      <c r="B867" s="320">
        <f>'E MZDA AVELINO DE CARVALHO'!D19</f>
        <v/>
      </c>
    </row>
    <row r="868" ht="15" customHeight="1" s="163">
      <c r="A868" s="319">
        <f>'E MZDA AVELINO DE CARVALHO'!I20</f>
        <v/>
      </c>
      <c r="B868" s="320">
        <f>'E MZDA AVELINO DE CARVALHO'!D20</f>
        <v/>
      </c>
    </row>
    <row r="869" ht="15" customHeight="1" s="163">
      <c r="A869" s="319">
        <f>'E MZDA AVELINO DE CARVALHO'!I21</f>
        <v/>
      </c>
      <c r="B869" s="320">
        <f>'E MZDA AVELINO DE CARVALHO'!D21</f>
        <v/>
      </c>
    </row>
    <row r="870" ht="15" customHeight="1" s="163">
      <c r="A870" s="319">
        <f>'E MZDA AVELINO DE CARVALHO'!I22</f>
        <v/>
      </c>
      <c r="B870" s="320">
        <f>'E MZDA AVELINO DE CARVALHO'!D22</f>
        <v/>
      </c>
    </row>
    <row r="871" ht="15" customHeight="1" s="163">
      <c r="A871" s="319">
        <f>'E MZDA AVELINO DE CARVALHO'!I23</f>
        <v/>
      </c>
      <c r="B871" s="320">
        <f>'E MZDA AVELINO DE CARVALHO'!D23</f>
        <v/>
      </c>
    </row>
    <row r="872" ht="15" customHeight="1" s="163">
      <c r="A872" s="319">
        <f>'E MZDA AVELINO DE CARVALHO'!I24</f>
        <v/>
      </c>
      <c r="B872" s="320">
        <f>'E MZDA AVELINO DE CARVALHO'!D24</f>
        <v/>
      </c>
    </row>
    <row r="873" ht="15" customHeight="1" s="163">
      <c r="A873" s="319">
        <f>'E MZDA AVELINO DE CARVALHO'!I25</f>
        <v/>
      </c>
      <c r="B873" s="320">
        <f>'E MZDA AVELINO DE CARVALHO'!D25</f>
        <v/>
      </c>
    </row>
    <row r="874" ht="15" customHeight="1" s="163">
      <c r="A874" s="319">
        <f>'E MZDA AVELINO DE CARVALHO'!I26</f>
        <v/>
      </c>
      <c r="B874" s="320">
        <f>'E MZDA AVELINO DE CARVALHO'!D26</f>
        <v/>
      </c>
    </row>
    <row r="875" ht="15" customHeight="1" s="163">
      <c r="A875" s="319">
        <f>'E MZDA AVELINO DE CARVALHO'!I27</f>
        <v/>
      </c>
      <c r="B875" s="320">
        <f>'E MZDA AVELINO DE CARVALHO'!D27</f>
        <v/>
      </c>
    </row>
    <row r="876" ht="15" customHeight="1" s="163">
      <c r="A876" s="319">
        <f>'E M GERALDO VENTURA DIAS'!I9</f>
        <v/>
      </c>
      <c r="B876" s="320">
        <f>'E M GERALDO VENTURA DIAS'!D9</f>
        <v/>
      </c>
    </row>
    <row r="877" ht="15" customHeight="1" s="163">
      <c r="A877" s="319">
        <f>'E M GERALDO VENTURA DIAS'!I10</f>
        <v/>
      </c>
      <c r="B877" s="320">
        <f>'E M GERALDO VENTURA DIAS'!D10</f>
        <v/>
      </c>
    </row>
    <row r="878" ht="15" customHeight="1" s="163">
      <c r="A878" s="319">
        <f>'E M GERALDO VENTURA DIAS'!I11</f>
        <v/>
      </c>
      <c r="B878" s="320">
        <f>'E M GERALDO VENTURA DIAS'!D11</f>
        <v/>
      </c>
    </row>
    <row r="879" ht="15" customHeight="1" s="163">
      <c r="A879" s="319">
        <f>'E M GERALDO VENTURA DIAS'!I12</f>
        <v/>
      </c>
      <c r="B879" s="320">
        <f>'E M GERALDO VENTURA DIAS'!D12</f>
        <v/>
      </c>
    </row>
    <row r="880" ht="15" customHeight="1" s="163">
      <c r="A880" s="319">
        <f>'E M GERALDO VENTURA DIAS'!I13</f>
        <v/>
      </c>
      <c r="B880" s="320">
        <f>'E M GERALDO VENTURA DIAS'!D13</f>
        <v/>
      </c>
    </row>
    <row r="881" ht="15" customHeight="1" s="163">
      <c r="A881" s="319">
        <f>'E M GERALDO VENTURA DIAS'!I14</f>
        <v/>
      </c>
      <c r="B881" s="320">
        <f>'E M GERALDO VENTURA DIAS'!D14</f>
        <v/>
      </c>
    </row>
    <row r="882" ht="15" customHeight="1" s="163">
      <c r="A882" s="319">
        <f>'E M GERALDO VENTURA DIAS'!I15</f>
        <v/>
      </c>
      <c r="B882" s="320">
        <f>'E M GERALDO VENTURA DIAS'!D15</f>
        <v/>
      </c>
    </row>
    <row r="883" ht="15" customHeight="1" s="163">
      <c r="A883" s="319">
        <f>'E M GERALDO VENTURA DIAS'!I16</f>
        <v/>
      </c>
      <c r="B883" s="320">
        <f>'E M GERALDO VENTURA DIAS'!D16</f>
        <v/>
      </c>
    </row>
    <row r="884" ht="15" customHeight="1" s="163">
      <c r="A884" s="319">
        <f>'E M GERALDO VENTURA DIAS'!I17</f>
        <v/>
      </c>
      <c r="B884" s="320">
        <f>'E M GERALDO VENTURA DIAS'!D17</f>
        <v/>
      </c>
    </row>
    <row r="885" ht="15" customHeight="1" s="163">
      <c r="A885" s="319">
        <f>'E M GERALDO VENTURA DIAS'!I18</f>
        <v/>
      </c>
      <c r="B885" s="320">
        <f>'E M GERALDO VENTURA DIAS'!D18</f>
        <v/>
      </c>
    </row>
    <row r="886" ht="15" customHeight="1" s="163">
      <c r="A886" s="319">
        <f>'E M GERALDO VENTURA DIAS'!I19</f>
        <v/>
      </c>
      <c r="B886" s="320">
        <f>'E M GERALDO VENTURA DIAS'!D19</f>
        <v/>
      </c>
    </row>
    <row r="887" ht="15" customHeight="1" s="163">
      <c r="A887" s="319">
        <f>'E M GERALDO VENTURA DIAS'!I20</f>
        <v/>
      </c>
      <c r="B887" s="320">
        <f>'E M GERALDO VENTURA DIAS'!D20</f>
        <v/>
      </c>
    </row>
    <row r="888" ht="15" customHeight="1" s="163">
      <c r="A888" s="319">
        <f>'E M GERALDO VENTURA DIAS'!I21</f>
        <v/>
      </c>
      <c r="B888" s="320">
        <f>'E M GERALDO VENTURA DIAS'!D21</f>
        <v/>
      </c>
    </row>
    <row r="889" ht="15" customHeight="1" s="163">
      <c r="A889" s="319">
        <f>'E M GERALDO VENTURA DIAS'!I22</f>
        <v/>
      </c>
      <c r="B889" s="320">
        <f>'E M GERALDO VENTURA DIAS'!D22</f>
        <v/>
      </c>
    </row>
    <row r="890" ht="15" customHeight="1" s="163">
      <c r="A890" s="319">
        <f>'E M GERALDO VENTURA DIAS'!I23</f>
        <v/>
      </c>
      <c r="B890" s="320">
        <f>'E M GERALDO VENTURA DIAS'!D23</f>
        <v/>
      </c>
    </row>
    <row r="891" ht="15" customHeight="1" s="163">
      <c r="A891" s="319">
        <f>'E M GERALDO VENTURA DIAS'!I24</f>
        <v/>
      </c>
      <c r="B891" s="320">
        <f>'E M GERALDO VENTURA DIAS'!D24</f>
        <v/>
      </c>
    </row>
    <row r="892" ht="15" customHeight="1" s="163">
      <c r="A892" s="319">
        <f>'E M GERALDO VENTURA DIAS'!I25</f>
        <v/>
      </c>
      <c r="B892" s="320">
        <f>'E M GERALDO VENTURA DIAS'!D25</f>
        <v/>
      </c>
    </row>
    <row r="893" ht="15" customHeight="1" s="163">
      <c r="A893" s="319">
        <f>'E M GERALDO VENTURA DIAS'!I26</f>
        <v/>
      </c>
      <c r="B893" s="320">
        <f>'E M GERALDO VENTURA DIAS'!D26</f>
        <v/>
      </c>
    </row>
    <row r="894" ht="15" customHeight="1" s="163">
      <c r="A894" s="319">
        <f>'E M GERALDO VENTURA DIAS'!I27</f>
        <v/>
      </c>
      <c r="B894" s="320">
        <f>'E M GERALDO VENTURA DIAS'!D27</f>
        <v/>
      </c>
    </row>
    <row r="895" ht="15" customHeight="1" s="163">
      <c r="A895" s="319">
        <f>'E M SALVADOR KLING'!I9</f>
        <v/>
      </c>
      <c r="B895" s="320">
        <f>'E M SALVADOR KLING'!D9</f>
        <v/>
      </c>
    </row>
    <row r="896" ht="15" customHeight="1" s="163">
      <c r="A896" s="319">
        <f>'E M SALVADOR KLING'!I10</f>
        <v/>
      </c>
      <c r="B896" s="320">
        <f>'E M SALVADOR KLING'!D10</f>
        <v/>
      </c>
    </row>
    <row r="897" ht="15" customHeight="1" s="163">
      <c r="A897" s="319">
        <f>'E M SALVADOR KLING'!I11</f>
        <v/>
      </c>
      <c r="B897" s="320">
        <f>'E M SALVADOR KLING'!D11</f>
        <v/>
      </c>
    </row>
    <row r="898" ht="15" customHeight="1" s="163">
      <c r="A898" s="319">
        <f>'E M SALVADOR KLING'!I12</f>
        <v/>
      </c>
      <c r="B898" s="320">
        <f>'E M SALVADOR KLING'!D12</f>
        <v/>
      </c>
    </row>
    <row r="899" ht="15" customHeight="1" s="163">
      <c r="A899" s="319">
        <f>'E M SALVADOR KLING'!I13</f>
        <v/>
      </c>
      <c r="B899" s="320">
        <f>'E M SALVADOR KLING'!D13</f>
        <v/>
      </c>
    </row>
    <row r="900" ht="15" customHeight="1" s="163">
      <c r="A900" s="319">
        <f>'E M SALVADOR KLING'!I14</f>
        <v/>
      </c>
      <c r="B900" s="320">
        <f>'E M SALVADOR KLING'!D14</f>
        <v/>
      </c>
    </row>
    <row r="901" ht="15" customHeight="1" s="163">
      <c r="A901" s="319">
        <f>'E M SALVADOR KLING'!I15</f>
        <v/>
      </c>
      <c r="B901" s="320">
        <f>'E M SALVADOR KLING'!D15</f>
        <v/>
      </c>
    </row>
    <row r="902" ht="15" customHeight="1" s="163">
      <c r="A902" s="319">
        <f>'E M SALVADOR KLING'!I16</f>
        <v/>
      </c>
      <c r="B902" s="320">
        <f>'E M SALVADOR KLING'!D16</f>
        <v/>
      </c>
    </row>
    <row r="903" ht="15" customHeight="1" s="163">
      <c r="A903" s="319">
        <f>'E M SALVADOR KLING'!I17</f>
        <v/>
      </c>
      <c r="B903" s="320">
        <f>'E M SALVADOR KLING'!D17</f>
        <v/>
      </c>
    </row>
    <row r="904" ht="15" customHeight="1" s="163">
      <c r="A904" s="319">
        <f>'E M SALVADOR KLING'!I18</f>
        <v/>
      </c>
      <c r="B904" s="320">
        <f>'E M SALVADOR KLING'!D18</f>
        <v/>
      </c>
    </row>
    <row r="905" ht="15" customHeight="1" s="163">
      <c r="A905" s="319">
        <f>'E M SALVADOR KLING'!I19</f>
        <v/>
      </c>
      <c r="B905" s="320">
        <f>'E M SALVADOR KLING'!D19</f>
        <v/>
      </c>
    </row>
    <row r="906" ht="15" customHeight="1" s="163">
      <c r="A906" s="319">
        <f>'E M SALVADOR KLING'!I20</f>
        <v/>
      </c>
      <c r="B906" s="320">
        <f>'E M SALVADOR KLING'!D20</f>
        <v/>
      </c>
    </row>
    <row r="907" ht="15" customHeight="1" s="163">
      <c r="A907" s="319">
        <f>'E M SALVADOR KLING'!I21</f>
        <v/>
      </c>
      <c r="B907" s="320">
        <f>'E M SALVADOR KLING'!D21</f>
        <v/>
      </c>
    </row>
    <row r="908" ht="15" customHeight="1" s="163">
      <c r="A908" s="319">
        <f>'E M SALVADOR KLING'!I22</f>
        <v/>
      </c>
      <c r="B908" s="320">
        <f>'E M SALVADOR KLING'!D22</f>
        <v/>
      </c>
    </row>
    <row r="909" ht="15" customHeight="1" s="163">
      <c r="A909" s="319">
        <f>'E M SALVADOR KLING'!I23</f>
        <v/>
      </c>
      <c r="B909" s="320">
        <f>'E M SALVADOR KLING'!D23</f>
        <v/>
      </c>
    </row>
    <row r="910" ht="15" customHeight="1" s="163">
      <c r="A910" s="319">
        <f>'E M SALVADOR KLING'!I24</f>
        <v/>
      </c>
      <c r="B910" s="320">
        <f>'E M SALVADOR KLING'!D24</f>
        <v/>
      </c>
    </row>
    <row r="911" ht="15" customHeight="1" s="163">
      <c r="A911" s="319">
        <f>'E M SALVADOR KLING'!I25</f>
        <v/>
      </c>
      <c r="B911" s="320">
        <f>'E M SALVADOR KLING'!D25</f>
        <v/>
      </c>
    </row>
    <row r="912" ht="15" customHeight="1" s="163">
      <c r="A912" s="319">
        <f>'E M SALVADOR KLING'!I26</f>
        <v/>
      </c>
      <c r="B912" s="320">
        <f>'E M SALVADOR KLING'!D26</f>
        <v/>
      </c>
    </row>
    <row r="913" ht="15" customHeight="1" s="163">
      <c r="A913" s="319">
        <f>'E M SALVADOR KLING'!I27</f>
        <v/>
      </c>
      <c r="B913" s="320">
        <f>'E M SALVADOR KLING'!D27</f>
        <v/>
      </c>
    </row>
    <row r="914" ht="15" customHeight="1" s="163">
      <c r="A914" s="319">
        <f>'E M PREFEITO JAMIL SABRÁ'!I9</f>
        <v/>
      </c>
      <c r="B914" s="320">
        <f>'E M PREFEITO JAMIL SABRÁ'!D9</f>
        <v/>
      </c>
    </row>
    <row r="915" ht="15" customHeight="1" s="163">
      <c r="A915" s="319">
        <f>'E M PREFEITO JAMIL SABRÁ'!I10</f>
        <v/>
      </c>
      <c r="B915" s="320">
        <f>'E M PREFEITO JAMIL SABRÁ'!D10</f>
        <v/>
      </c>
    </row>
    <row r="916" ht="15" customHeight="1" s="163">
      <c r="A916" s="319">
        <f>'E M PREFEITO JAMIL SABRÁ'!I11</f>
        <v/>
      </c>
      <c r="B916" s="320">
        <f>'E M PREFEITO JAMIL SABRÁ'!D11</f>
        <v/>
      </c>
    </row>
    <row r="917" ht="15" customHeight="1" s="163">
      <c r="A917" s="319">
        <f>'E M PREFEITO JAMIL SABRÁ'!I12</f>
        <v/>
      </c>
      <c r="B917" s="320">
        <f>'E M PREFEITO JAMIL SABRÁ'!D12</f>
        <v/>
      </c>
    </row>
    <row r="918" ht="15" customHeight="1" s="163">
      <c r="A918" s="319">
        <f>'E M PREFEITO JAMIL SABRÁ'!I13</f>
        <v/>
      </c>
      <c r="B918" s="320">
        <f>'E M PREFEITO JAMIL SABRÁ'!D13</f>
        <v/>
      </c>
    </row>
    <row r="919" ht="15" customHeight="1" s="163">
      <c r="A919" s="319">
        <f>'E M PREFEITO JAMIL SABRÁ'!I14</f>
        <v/>
      </c>
      <c r="B919" s="320">
        <f>'E M PREFEITO JAMIL SABRÁ'!D14</f>
        <v/>
      </c>
    </row>
    <row r="920" ht="15" customHeight="1" s="163">
      <c r="A920" s="319">
        <f>'E M PREFEITO JAMIL SABRÁ'!I15</f>
        <v/>
      </c>
      <c r="B920" s="320">
        <f>'E M PREFEITO JAMIL SABRÁ'!D15</f>
        <v/>
      </c>
    </row>
    <row r="921" ht="15" customHeight="1" s="163">
      <c r="A921" s="319">
        <f>'E M PREFEITO JAMIL SABRÁ'!I16</f>
        <v/>
      </c>
      <c r="B921" s="320">
        <f>'E M PREFEITO JAMIL SABRÁ'!D16</f>
        <v/>
      </c>
    </row>
    <row r="922" ht="15" customHeight="1" s="163">
      <c r="A922" s="319">
        <f>'E M PREFEITO JAMIL SABRÁ'!I17</f>
        <v/>
      </c>
      <c r="B922" s="320">
        <f>'E M PREFEITO JAMIL SABRÁ'!D17</f>
        <v/>
      </c>
    </row>
    <row r="923" ht="15" customHeight="1" s="163">
      <c r="A923" s="319">
        <f>'E M PREFEITO JAMIL SABRÁ'!I18</f>
        <v/>
      </c>
      <c r="B923" s="320">
        <f>'E M PREFEITO JAMIL SABRÁ'!D18</f>
        <v/>
      </c>
    </row>
    <row r="924" ht="15" customHeight="1" s="163">
      <c r="A924" s="319">
        <f>'E M PREFEITO JAMIL SABRÁ'!I19</f>
        <v/>
      </c>
      <c r="B924" s="320">
        <f>'E M PREFEITO JAMIL SABRÁ'!D19</f>
        <v/>
      </c>
    </row>
    <row r="925" ht="15" customHeight="1" s="163">
      <c r="A925" s="319">
        <f>'E M PREFEITO JAMIL SABRÁ'!I20</f>
        <v/>
      </c>
      <c r="B925" s="320">
        <f>'E M PREFEITO JAMIL SABRÁ'!D20</f>
        <v/>
      </c>
    </row>
    <row r="926" ht="15" customHeight="1" s="163">
      <c r="A926" s="319">
        <f>'E M PREFEITO JAMIL SABRÁ'!I21</f>
        <v/>
      </c>
      <c r="B926" s="320">
        <f>'E M PREFEITO JAMIL SABRÁ'!D21</f>
        <v/>
      </c>
    </row>
    <row r="927" ht="15" customHeight="1" s="163">
      <c r="A927" s="319">
        <f>'E M PREFEITO JAMIL SABRÁ'!I22</f>
        <v/>
      </c>
      <c r="B927" s="320">
        <f>'E M PREFEITO JAMIL SABRÁ'!D22</f>
        <v/>
      </c>
    </row>
    <row r="928" ht="15" customHeight="1" s="163">
      <c r="A928" s="319">
        <f>'E M PREFEITO JAMIL SABRÁ'!I23</f>
        <v/>
      </c>
      <c r="B928" s="320">
        <f>'E M PREFEITO JAMIL SABRÁ'!D23</f>
        <v/>
      </c>
    </row>
    <row r="929" ht="15" customHeight="1" s="163">
      <c r="A929" s="319">
        <f>'E M PREFEITO JAMIL SABRÁ'!I24</f>
        <v/>
      </c>
      <c r="B929" s="320">
        <f>'E M PREFEITO JAMIL SABRÁ'!D24</f>
        <v/>
      </c>
    </row>
    <row r="930" ht="15" customHeight="1" s="163">
      <c r="A930" s="319">
        <f>'E M PREFEITO JAMIL SABRÁ'!I25</f>
        <v/>
      </c>
      <c r="B930" s="320">
        <f>'E M PREFEITO JAMIL SABRÁ'!D25</f>
        <v/>
      </c>
    </row>
    <row r="931" ht="15" customHeight="1" s="163">
      <c r="A931" s="319">
        <f>'E M PREFEITO JAMIL SABRÁ'!I26</f>
        <v/>
      </c>
      <c r="B931" s="320">
        <f>'E M PREFEITO JAMIL SABRÁ'!D26</f>
        <v/>
      </c>
    </row>
    <row r="932" ht="15" customHeight="1" s="163">
      <c r="A932" s="319">
        <f>'E M PREFEITO JAMIL SABRÁ'!I27</f>
        <v/>
      </c>
      <c r="B932" s="320">
        <f>'E M PREFEITO JAMIL SABRÁ'!D27</f>
        <v/>
      </c>
    </row>
    <row r="933" ht="15" customHeight="1" s="163">
      <c r="A933" s="319">
        <f>'LICEU MUNICIPAL CARLOS CHAGAS F'!I9</f>
        <v/>
      </c>
      <c r="B933" s="320">
        <f>'LICEU MUNICIPAL CARLOS CHAGAS F'!D9</f>
        <v/>
      </c>
    </row>
    <row r="934" ht="15" customHeight="1" s="163">
      <c r="A934" s="319">
        <f>'LICEU MUNICIPAL CARLOS CHAGAS F'!I10</f>
        <v/>
      </c>
      <c r="B934" s="320">
        <f>'LICEU MUNICIPAL CARLOS CHAGAS F'!D10</f>
        <v/>
      </c>
    </row>
    <row r="935" ht="15" customHeight="1" s="163">
      <c r="A935" s="319">
        <f>'LICEU MUNICIPAL CARLOS CHAGAS F'!I11</f>
        <v/>
      </c>
      <c r="B935" s="320">
        <f>'LICEU MUNICIPAL CARLOS CHAGAS F'!D11</f>
        <v/>
      </c>
    </row>
    <row r="936" ht="15" customHeight="1" s="163">
      <c r="A936" s="319">
        <f>'LICEU MUNICIPAL CARLOS CHAGAS F'!I12</f>
        <v/>
      </c>
      <c r="B936" s="320">
        <f>'LICEU MUNICIPAL CARLOS CHAGAS F'!D12</f>
        <v/>
      </c>
    </row>
    <row r="937" ht="15" customHeight="1" s="163">
      <c r="A937" s="319">
        <f>'LICEU MUNICIPAL CARLOS CHAGAS F'!I13</f>
        <v/>
      </c>
      <c r="B937" s="320">
        <f>'LICEU MUNICIPAL CARLOS CHAGAS F'!D13</f>
        <v/>
      </c>
    </row>
    <row r="938" ht="15" customHeight="1" s="163">
      <c r="A938" s="319">
        <f>'LICEU MUNICIPAL CARLOS CHAGAS F'!I14</f>
        <v/>
      </c>
      <c r="B938" s="320">
        <f>'LICEU MUNICIPAL CARLOS CHAGAS F'!D14</f>
        <v/>
      </c>
    </row>
    <row r="939" ht="15" customHeight="1" s="163">
      <c r="A939" s="319">
        <f>'LICEU MUNICIPAL CARLOS CHAGAS F'!I15</f>
        <v/>
      </c>
      <c r="B939" s="320">
        <f>'LICEU MUNICIPAL CARLOS CHAGAS F'!D15</f>
        <v/>
      </c>
    </row>
    <row r="940" ht="15" customHeight="1" s="163">
      <c r="A940" s="319">
        <f>'LICEU MUNICIPAL CARLOS CHAGAS F'!I16</f>
        <v/>
      </c>
      <c r="B940" s="320">
        <f>'LICEU MUNICIPAL CARLOS CHAGAS F'!D16</f>
        <v/>
      </c>
    </row>
    <row r="941" ht="15" customHeight="1" s="163">
      <c r="A941" s="319">
        <f>'LICEU MUNICIPAL CARLOS CHAGAS F'!I17</f>
        <v/>
      </c>
      <c r="B941" s="320">
        <f>'LICEU MUNICIPAL CARLOS CHAGAS F'!D17</f>
        <v/>
      </c>
    </row>
    <row r="942" ht="15" customHeight="1" s="163">
      <c r="A942" s="319">
        <f>'LICEU MUNICIPAL CARLOS CHAGAS F'!I18</f>
        <v/>
      </c>
      <c r="B942" s="320">
        <f>'LICEU MUNICIPAL CARLOS CHAGAS F'!D18</f>
        <v/>
      </c>
    </row>
    <row r="943" ht="15" customHeight="1" s="163">
      <c r="A943" s="319">
        <f>'LICEU MUNICIPAL CARLOS CHAGAS F'!I19</f>
        <v/>
      </c>
      <c r="B943" s="320">
        <f>'LICEU MUNICIPAL CARLOS CHAGAS F'!D19</f>
        <v/>
      </c>
    </row>
    <row r="944" ht="15" customHeight="1" s="163">
      <c r="A944" s="319">
        <f>'LICEU MUNICIPAL CARLOS CHAGAS F'!I20</f>
        <v/>
      </c>
      <c r="B944" s="320">
        <f>'LICEU MUNICIPAL CARLOS CHAGAS F'!D20</f>
        <v/>
      </c>
    </row>
    <row r="945" ht="15" customHeight="1" s="163">
      <c r="A945" s="319">
        <f>'LICEU MUNICIPAL CARLOS CHAGAS F'!I21</f>
        <v/>
      </c>
      <c r="B945" s="320">
        <f>'LICEU MUNICIPAL CARLOS CHAGAS F'!D21</f>
        <v/>
      </c>
    </row>
    <row r="946" ht="15" customHeight="1" s="163">
      <c r="A946" s="319">
        <f>'LICEU MUNICIPAL CARLOS CHAGAS F'!I22</f>
        <v/>
      </c>
      <c r="B946" s="320">
        <f>'LICEU MUNICIPAL CARLOS CHAGAS F'!D22</f>
        <v/>
      </c>
    </row>
    <row r="947" ht="15" customHeight="1" s="163">
      <c r="A947" s="319">
        <f>'LICEU MUNICIPAL CARLOS CHAGAS F'!I23</f>
        <v/>
      </c>
      <c r="B947" s="320">
        <f>'LICEU MUNICIPAL CARLOS CHAGAS F'!D23</f>
        <v/>
      </c>
    </row>
    <row r="948" ht="15" customHeight="1" s="163">
      <c r="A948" s="319">
        <f>'LICEU MUNICIPAL CARLOS CHAGAS F'!I24</f>
        <v/>
      </c>
      <c r="B948" s="320">
        <f>'LICEU MUNICIPAL CARLOS CHAGAS F'!D24</f>
        <v/>
      </c>
    </row>
    <row r="949" ht="15" customHeight="1" s="163">
      <c r="A949" s="319">
        <f>'LICEU MUNICIPAL CARLOS CHAGAS F'!I25</f>
        <v/>
      </c>
      <c r="B949" s="320">
        <f>'LICEU MUNICIPAL CARLOS CHAGAS F'!D25</f>
        <v/>
      </c>
    </row>
    <row r="950" ht="15" customHeight="1" s="163">
      <c r="A950" s="319">
        <f>'LICEU MUNICIPAL CARLOS CHAGAS F'!I26</f>
        <v/>
      </c>
      <c r="B950" s="320">
        <f>'LICEU MUNICIPAL CARLOS CHAGAS F'!D26</f>
        <v/>
      </c>
    </row>
    <row r="951" ht="15" customHeight="1" s="163">
      <c r="A951" s="319">
        <f>'LICEU MUNICIPAL CARLOS CHAGAS F'!I27</f>
        <v/>
      </c>
      <c r="B951" s="320">
        <f>'LICEU MUNICIPAL CARLOS CHAGAS F'!D27</f>
        <v/>
      </c>
    </row>
    <row r="952" ht="15" customHeight="1" s="163">
      <c r="A952" s="319">
        <f>'ESCOLA MUNICIPAL ANA MOHAMMAD'!I9</f>
        <v/>
      </c>
      <c r="B952" s="320">
        <f>'ESCOLA MUNICIPAL ANA MOHAMMAD'!D9</f>
        <v/>
      </c>
    </row>
    <row r="953" ht="15" customHeight="1" s="163">
      <c r="A953" s="319">
        <f>'ESCOLA MUNICIPAL ANA MOHAMMAD'!I10</f>
        <v/>
      </c>
      <c r="B953" s="320">
        <f>'ESCOLA MUNICIPAL ANA MOHAMMAD'!D10</f>
        <v/>
      </c>
    </row>
    <row r="954" ht="15" customHeight="1" s="163">
      <c r="A954" s="319">
        <f>'ESCOLA MUNICIPAL ANA MOHAMMAD'!I11</f>
        <v/>
      </c>
      <c r="B954" s="320">
        <f>'ESCOLA MUNICIPAL ANA MOHAMMAD'!D11</f>
        <v/>
      </c>
    </row>
    <row r="955" ht="15" customHeight="1" s="163">
      <c r="A955" s="319">
        <f>'ESCOLA MUNICIPAL ANA MOHAMMAD'!I12</f>
        <v/>
      </c>
      <c r="B955" s="320">
        <f>'ESCOLA MUNICIPAL ANA MOHAMMAD'!D12</f>
        <v/>
      </c>
    </row>
    <row r="956" ht="15" customHeight="1" s="163">
      <c r="A956" s="319">
        <f>'ESCOLA MUNICIPAL ANA MOHAMMAD'!I13</f>
        <v/>
      </c>
      <c r="B956" s="320">
        <f>'ESCOLA MUNICIPAL ANA MOHAMMAD'!D13</f>
        <v/>
      </c>
    </row>
    <row r="957" ht="15" customHeight="1" s="163">
      <c r="A957" s="319">
        <f>'ESCOLA MUNICIPAL ANA MOHAMMAD'!I14</f>
        <v/>
      </c>
      <c r="B957" s="320">
        <f>'ESCOLA MUNICIPAL ANA MOHAMMAD'!D14</f>
        <v/>
      </c>
    </row>
    <row r="958" ht="15" customHeight="1" s="163">
      <c r="A958" s="319">
        <f>'ESCOLA MUNICIPAL ANA MOHAMMAD'!I15</f>
        <v/>
      </c>
      <c r="B958" s="320">
        <f>'ESCOLA MUNICIPAL ANA MOHAMMAD'!D15</f>
        <v/>
      </c>
    </row>
    <row r="959" ht="15" customHeight="1" s="163">
      <c r="A959" s="319">
        <f>'ESCOLA MUNICIPAL ANA MOHAMMAD'!I16</f>
        <v/>
      </c>
      <c r="B959" s="320">
        <f>'ESCOLA MUNICIPAL ANA MOHAMMAD'!D16</f>
        <v/>
      </c>
    </row>
    <row r="960" ht="15" customHeight="1" s="163">
      <c r="A960" s="319">
        <f>'ESCOLA MUNICIPAL ANA MOHAMMAD'!I17</f>
        <v/>
      </c>
      <c r="B960" s="320">
        <f>'ESCOLA MUNICIPAL ANA MOHAMMAD'!D17</f>
        <v/>
      </c>
    </row>
    <row r="961" ht="15" customHeight="1" s="163">
      <c r="A961" s="319">
        <f>'ESCOLA MUNICIPAL ANA MOHAMMAD'!I18</f>
        <v/>
      </c>
      <c r="B961" s="320">
        <f>'ESCOLA MUNICIPAL ANA MOHAMMAD'!D18</f>
        <v/>
      </c>
    </row>
    <row r="962" ht="15" customHeight="1" s="163">
      <c r="A962" s="319">
        <f>'ESCOLA MUNICIPAL ANA MOHAMMAD'!I19</f>
        <v/>
      </c>
      <c r="B962" s="320">
        <f>'ESCOLA MUNICIPAL ANA MOHAMMAD'!D19</f>
        <v/>
      </c>
    </row>
    <row r="963" ht="15" customHeight="1" s="163">
      <c r="A963" s="319">
        <f>'ESCOLA MUNICIPAL ANA MOHAMMAD'!I20</f>
        <v/>
      </c>
      <c r="B963" s="320">
        <f>'ESCOLA MUNICIPAL ANA MOHAMMAD'!D20</f>
        <v/>
      </c>
    </row>
    <row r="964" ht="15" customHeight="1" s="163">
      <c r="A964" s="319">
        <f>'ESCOLA MUNICIPAL ANA MOHAMMAD'!I21</f>
        <v/>
      </c>
      <c r="B964" s="320">
        <f>'ESCOLA MUNICIPAL ANA MOHAMMAD'!D21</f>
        <v/>
      </c>
    </row>
    <row r="965" ht="15" customHeight="1" s="163">
      <c r="A965" s="319">
        <f>'ESCOLA MUNICIPAL ANA MOHAMMAD'!I22</f>
        <v/>
      </c>
      <c r="B965" s="320">
        <f>'ESCOLA MUNICIPAL ANA MOHAMMAD'!D22</f>
        <v/>
      </c>
    </row>
    <row r="966" ht="15" customHeight="1" s="163">
      <c r="A966" s="319">
        <f>'ESCOLA MUNICIPAL ANA MOHAMMAD'!I23</f>
        <v/>
      </c>
      <c r="B966" s="320">
        <f>'ESCOLA MUNICIPAL ANA MOHAMMAD'!D23</f>
        <v/>
      </c>
    </row>
    <row r="967" ht="15" customHeight="1" s="163">
      <c r="A967" s="319">
        <f>'ESCOLA MUNICIPAL ANA MOHAMMAD'!I24</f>
        <v/>
      </c>
      <c r="B967" s="320">
        <f>'ESCOLA MUNICIPAL ANA MOHAMMAD'!D24</f>
        <v/>
      </c>
    </row>
    <row r="968" ht="15" customHeight="1" s="163">
      <c r="A968" s="319">
        <f>'ESCOLA MUNICIPAL ANA MOHAMMAD'!I25</f>
        <v/>
      </c>
      <c r="B968" s="320">
        <f>'ESCOLA MUNICIPAL ANA MOHAMMAD'!D25</f>
        <v/>
      </c>
    </row>
    <row r="969" ht="15" customHeight="1" s="163">
      <c r="A969" s="319">
        <f>'ESCOLA MUNICIPAL ANA MOHAMMAD'!I26</f>
        <v/>
      </c>
      <c r="B969" s="320">
        <f>'ESCOLA MUNICIPAL ANA MOHAMMAD'!D26</f>
        <v/>
      </c>
    </row>
    <row r="970" ht="15" customHeight="1" s="163">
      <c r="A970" s="319">
        <f>'ESCOLA MUNICIPAL ANA MOHAMMAD'!I27</f>
        <v/>
      </c>
      <c r="B970" s="320">
        <f>'ESCOLA MUNICIPAL ANA MOHAMMAD'!D27</f>
        <v/>
      </c>
    </row>
    <row r="971" ht="15" customHeight="1" s="163">
      <c r="A971" s="319">
        <f>'ESCOLA MUNICIPAL ALTO INDEPENDÊ'!I9</f>
        <v/>
      </c>
      <c r="B971" s="320">
        <f>'ESCOLA MUNICIPAL ALTO INDEPENDÊ'!D9</f>
        <v/>
      </c>
    </row>
    <row r="972" ht="15" customHeight="1" s="163">
      <c r="A972" s="319">
        <f>'ESCOLA MUNICIPAL ALTO INDEPENDÊ'!I10</f>
        <v/>
      </c>
      <c r="B972" s="320">
        <f>'ESCOLA MUNICIPAL ALTO INDEPENDÊ'!D10</f>
        <v/>
      </c>
    </row>
    <row r="973" ht="15" customHeight="1" s="163">
      <c r="A973" s="319">
        <f>'ESCOLA MUNICIPAL ALTO INDEPENDÊ'!I11</f>
        <v/>
      </c>
      <c r="B973" s="320">
        <f>'ESCOLA MUNICIPAL ALTO INDEPENDÊ'!D11</f>
        <v/>
      </c>
    </row>
    <row r="974" ht="15" customHeight="1" s="163">
      <c r="A974" s="319">
        <f>'ESCOLA MUNICIPAL ALTO INDEPENDÊ'!I12</f>
        <v/>
      </c>
      <c r="B974" s="320">
        <f>'ESCOLA MUNICIPAL ALTO INDEPENDÊ'!D12</f>
        <v/>
      </c>
    </row>
    <row r="975" ht="15" customHeight="1" s="163">
      <c r="A975" s="319">
        <f>'ESCOLA MUNICIPAL ALTO INDEPENDÊ'!I13</f>
        <v/>
      </c>
      <c r="B975" s="320">
        <f>'ESCOLA MUNICIPAL ALTO INDEPENDÊ'!D13</f>
        <v/>
      </c>
    </row>
    <row r="976" ht="15" customHeight="1" s="163">
      <c r="A976" s="319">
        <f>'ESCOLA MUNICIPAL ALTO INDEPENDÊ'!I14</f>
        <v/>
      </c>
      <c r="B976" s="320">
        <f>'ESCOLA MUNICIPAL ALTO INDEPENDÊ'!D14</f>
        <v/>
      </c>
    </row>
    <row r="977" ht="15" customHeight="1" s="163">
      <c r="A977" s="319">
        <f>'ESCOLA MUNICIPAL ALTO INDEPENDÊ'!I15</f>
        <v/>
      </c>
      <c r="B977" s="320">
        <f>'ESCOLA MUNICIPAL ALTO INDEPENDÊ'!D15</f>
        <v/>
      </c>
    </row>
    <row r="978" ht="15" customHeight="1" s="163">
      <c r="A978" s="319">
        <f>'ESCOLA MUNICIPAL ALTO INDEPENDÊ'!I16</f>
        <v/>
      </c>
      <c r="B978" s="320">
        <f>'ESCOLA MUNICIPAL ALTO INDEPENDÊ'!D16</f>
        <v/>
      </c>
    </row>
    <row r="979" ht="15" customHeight="1" s="163">
      <c r="A979" s="319">
        <f>'ESCOLA MUNICIPAL ALTO INDEPENDÊ'!I17</f>
        <v/>
      </c>
      <c r="B979" s="320">
        <f>'ESCOLA MUNICIPAL ALTO INDEPENDÊ'!D17</f>
        <v/>
      </c>
    </row>
    <row r="980" ht="15" customHeight="1" s="163">
      <c r="A980" s="319">
        <f>'ESCOLA MUNICIPAL ALTO INDEPENDÊ'!I18</f>
        <v/>
      </c>
      <c r="B980" s="320">
        <f>'ESCOLA MUNICIPAL ALTO INDEPENDÊ'!D18</f>
        <v/>
      </c>
    </row>
    <row r="981" ht="15" customHeight="1" s="163">
      <c r="A981" s="319">
        <f>'ESCOLA MUNICIPAL ALTO INDEPENDÊ'!I19</f>
        <v/>
      </c>
      <c r="B981" s="320">
        <f>'ESCOLA MUNICIPAL ALTO INDEPENDÊ'!D19</f>
        <v/>
      </c>
    </row>
    <row r="982" ht="15" customHeight="1" s="163">
      <c r="A982" s="319">
        <f>'ESCOLA MUNICIPAL ALTO INDEPENDÊ'!I20</f>
        <v/>
      </c>
      <c r="B982" s="320">
        <f>'ESCOLA MUNICIPAL ALTO INDEPENDÊ'!D20</f>
        <v/>
      </c>
    </row>
    <row r="983" ht="15" customHeight="1" s="163">
      <c r="A983" s="319">
        <f>'ESCOLA MUNICIPAL ALTO INDEPENDÊ'!I21</f>
        <v/>
      </c>
      <c r="B983" s="320">
        <f>'ESCOLA MUNICIPAL ALTO INDEPENDÊ'!D21</f>
        <v/>
      </c>
    </row>
    <row r="984" ht="15" customHeight="1" s="163">
      <c r="A984" s="319">
        <f>'ESCOLA MUNICIPAL ALTO INDEPENDÊ'!I22</f>
        <v/>
      </c>
      <c r="B984" s="320">
        <f>'ESCOLA MUNICIPAL ALTO INDEPENDÊ'!D22</f>
        <v/>
      </c>
    </row>
    <row r="985" ht="15" customHeight="1" s="163">
      <c r="A985" s="319">
        <f>'ESCOLA MUNICIPAL ALTO INDEPENDÊ'!I23</f>
        <v/>
      </c>
      <c r="B985" s="320">
        <f>'ESCOLA MUNICIPAL ALTO INDEPENDÊ'!D23</f>
        <v/>
      </c>
    </row>
    <row r="986" ht="15" customHeight="1" s="163">
      <c r="A986" s="319">
        <f>'ESCOLA MUNICIPAL ALTO INDEPENDÊ'!I24</f>
        <v/>
      </c>
      <c r="B986" s="320">
        <f>'ESCOLA MUNICIPAL ALTO INDEPENDÊ'!D24</f>
        <v/>
      </c>
    </row>
    <row r="987" ht="15" customHeight="1" s="163">
      <c r="A987" s="319">
        <f>'ESCOLA MUNICIPAL ALTO INDEPENDÊ'!I25</f>
        <v/>
      </c>
      <c r="B987" s="320">
        <f>'ESCOLA MUNICIPAL ALTO INDEPENDÊ'!D25</f>
        <v/>
      </c>
    </row>
    <row r="988" ht="15" customHeight="1" s="163">
      <c r="A988" s="319">
        <f>'ESCOLA MUNICIPAL ALTO INDEPENDÊ'!I26</f>
        <v/>
      </c>
      <c r="B988" s="320">
        <f>'ESCOLA MUNICIPAL ALTO INDEPENDÊ'!D26</f>
        <v/>
      </c>
    </row>
    <row r="989" ht="15" customHeight="1" s="163">
      <c r="A989" s="319">
        <f>'ESCOLA MUNICIPAL ALTO INDEPENDÊ'!I27</f>
        <v/>
      </c>
      <c r="B989" s="320">
        <f>'ESCOLA MUNICIPAL ALTO INDEPENDÊ'!D27</f>
        <v/>
      </c>
    </row>
    <row r="990" ht="15" customHeight="1" s="163">
      <c r="A990" s="319">
        <f>'E M ALMIRANTE TAMANDARÉ'!I9</f>
        <v/>
      </c>
      <c r="B990" s="320">
        <f>'E M ALMIRANTE TAMANDARÉ'!D9</f>
        <v/>
      </c>
    </row>
    <row r="991" ht="15" customHeight="1" s="163">
      <c r="A991" s="319">
        <f>'E M ALMIRANTE TAMANDARÉ'!I10</f>
        <v/>
      </c>
      <c r="B991" s="320">
        <f>'E M ALMIRANTE TAMANDARÉ'!D10</f>
        <v/>
      </c>
    </row>
    <row r="992" ht="15" customHeight="1" s="163">
      <c r="A992" s="319">
        <f>'E M ALMIRANTE TAMANDARÉ'!I11</f>
        <v/>
      </c>
      <c r="B992" s="320">
        <f>'E M ALMIRANTE TAMANDARÉ'!D11</f>
        <v/>
      </c>
    </row>
    <row r="993" ht="15" customHeight="1" s="163">
      <c r="A993" s="319">
        <f>'E M ALMIRANTE TAMANDARÉ'!I12</f>
        <v/>
      </c>
      <c r="B993" s="320">
        <f>'E M ALMIRANTE TAMANDARÉ'!D12</f>
        <v/>
      </c>
    </row>
    <row r="994" ht="15" customHeight="1" s="163">
      <c r="A994" s="319">
        <f>'E M ALMIRANTE TAMANDARÉ'!I13</f>
        <v/>
      </c>
      <c r="B994" s="320">
        <f>'E M ALMIRANTE TAMANDARÉ'!D13</f>
        <v/>
      </c>
    </row>
    <row r="995" ht="15" customHeight="1" s="163">
      <c r="A995" s="319">
        <f>'E M ALMIRANTE TAMANDARÉ'!I14</f>
        <v/>
      </c>
      <c r="B995" s="320">
        <f>'E M ALMIRANTE TAMANDARÉ'!D14</f>
        <v/>
      </c>
    </row>
    <row r="996" ht="15" customHeight="1" s="163">
      <c r="A996" s="319">
        <f>'E M ALMIRANTE TAMANDARÉ'!I15</f>
        <v/>
      </c>
      <c r="B996" s="320">
        <f>'E M ALMIRANTE TAMANDARÉ'!D15</f>
        <v/>
      </c>
    </row>
    <row r="997" ht="15" customHeight="1" s="163">
      <c r="A997" s="319">
        <f>'E M ALMIRANTE TAMANDARÉ'!I16</f>
        <v/>
      </c>
      <c r="B997" s="320">
        <f>'E M ALMIRANTE TAMANDARÉ'!D16</f>
        <v/>
      </c>
    </row>
    <row r="998" ht="15" customHeight="1" s="163">
      <c r="A998" s="319">
        <f>'E M ALMIRANTE TAMANDARÉ'!I17</f>
        <v/>
      </c>
      <c r="B998" s="320">
        <f>'E M ALMIRANTE TAMANDARÉ'!D17</f>
        <v/>
      </c>
    </row>
    <row r="999" ht="15" customHeight="1" s="163">
      <c r="A999" s="319">
        <f>'E M ALMIRANTE TAMANDARÉ'!I18</f>
        <v/>
      </c>
      <c r="B999" s="320">
        <f>'E M ALMIRANTE TAMANDARÉ'!D18</f>
        <v/>
      </c>
    </row>
    <row r="1000" ht="15" customHeight="1" s="163">
      <c r="A1000" s="319">
        <f>'E M ALMIRANTE TAMANDARÉ'!I19</f>
        <v/>
      </c>
      <c r="B1000" s="320">
        <f>'E M ALMIRANTE TAMANDARÉ'!D19</f>
        <v/>
      </c>
    </row>
    <row r="1001" ht="15" customHeight="1" s="163">
      <c r="A1001" s="319">
        <f>'E M ALMIRANTE TAMANDARÉ'!I20</f>
        <v/>
      </c>
      <c r="B1001" s="320">
        <f>'E M ALMIRANTE TAMANDARÉ'!D20</f>
        <v/>
      </c>
    </row>
    <row r="1002" ht="15" customHeight="1" s="163">
      <c r="A1002" s="319">
        <f>'E M ALMIRANTE TAMANDARÉ'!I21</f>
        <v/>
      </c>
      <c r="B1002" s="320">
        <f>'E M ALMIRANTE TAMANDARÉ'!D21</f>
        <v/>
      </c>
    </row>
    <row r="1003" ht="15" customHeight="1" s="163">
      <c r="A1003" s="319">
        <f>'E M ALMIRANTE TAMANDARÉ'!I22</f>
        <v/>
      </c>
      <c r="B1003" s="320">
        <f>'E M ALMIRANTE TAMANDARÉ'!D22</f>
        <v/>
      </c>
    </row>
    <row r="1004" ht="15" customHeight="1" s="163">
      <c r="A1004" s="319">
        <f>'E M ALMIRANTE TAMANDARÉ'!I23</f>
        <v/>
      </c>
      <c r="B1004" s="320">
        <f>'E M ALMIRANTE TAMANDARÉ'!D23</f>
        <v/>
      </c>
    </row>
    <row r="1005" ht="15" customHeight="1" s="163">
      <c r="A1005" s="319">
        <f>'E M ALMIRANTE TAMANDARÉ'!I24</f>
        <v/>
      </c>
      <c r="B1005" s="320">
        <f>'E M ALMIRANTE TAMANDARÉ'!D24</f>
        <v/>
      </c>
    </row>
    <row r="1006" ht="15" customHeight="1" s="163">
      <c r="A1006" s="319">
        <f>'E M ALMIRANTE TAMANDARÉ'!I25</f>
        <v/>
      </c>
      <c r="B1006" s="320">
        <f>'E M ALMIRANTE TAMANDARÉ'!D25</f>
        <v/>
      </c>
    </row>
    <row r="1007" ht="15" customHeight="1" s="163">
      <c r="A1007" s="319">
        <f>'E M ALMIRANTE TAMANDARÉ'!I26</f>
        <v/>
      </c>
      <c r="B1007" s="320">
        <f>'E M ALMIRANTE TAMANDARÉ'!D26</f>
        <v/>
      </c>
    </row>
    <row r="1008" ht="15" customHeight="1" s="163">
      <c r="A1008" s="319">
        <f>'E M ALMIRANTE TAMANDARÉ'!I27</f>
        <v/>
      </c>
      <c r="B1008" s="320">
        <f>'E M ALMIRANTE TAMANDARÉ'!D27</f>
        <v/>
      </c>
    </row>
    <row r="1009" ht="15" customHeight="1" s="163">
      <c r="A1009" s="319">
        <f>'ESCOLA MUNICIPALIZADA FREI ANIC'!I9</f>
        <v/>
      </c>
      <c r="B1009" s="320">
        <f>'ESCOLA MUNICIPALIZADA FREI ANIC'!D9</f>
        <v/>
      </c>
    </row>
    <row r="1010" ht="15" customHeight="1" s="163">
      <c r="A1010" s="319">
        <f>'ESCOLA MUNICIPALIZADA FREI ANIC'!I10</f>
        <v/>
      </c>
      <c r="B1010" s="320">
        <f>'ESCOLA MUNICIPALIZADA FREI ANIC'!D10</f>
        <v/>
      </c>
    </row>
    <row r="1011" ht="15" customHeight="1" s="163">
      <c r="A1011" s="319">
        <f>'ESCOLA MUNICIPALIZADA FREI ANIC'!I11</f>
        <v/>
      </c>
      <c r="B1011" s="320">
        <f>'ESCOLA MUNICIPALIZADA FREI ANIC'!D11</f>
        <v/>
      </c>
    </row>
    <row r="1012" ht="15" customHeight="1" s="163">
      <c r="A1012" s="319">
        <f>'ESCOLA MUNICIPALIZADA FREI ANIC'!I12</f>
        <v/>
      </c>
      <c r="B1012" s="320">
        <f>'ESCOLA MUNICIPALIZADA FREI ANIC'!D12</f>
        <v/>
      </c>
    </row>
    <row r="1013" ht="15" customHeight="1" s="163">
      <c r="A1013" s="319">
        <f>'ESCOLA MUNICIPALIZADA FREI ANIC'!I13</f>
        <v/>
      </c>
      <c r="B1013" s="320">
        <f>'ESCOLA MUNICIPALIZADA FREI ANIC'!D13</f>
        <v/>
      </c>
    </row>
    <row r="1014" ht="15" customHeight="1" s="163">
      <c r="A1014" s="319">
        <f>'ESCOLA MUNICIPALIZADA FREI ANIC'!I14</f>
        <v/>
      </c>
      <c r="B1014" s="320">
        <f>'ESCOLA MUNICIPALIZADA FREI ANIC'!D14</f>
        <v/>
      </c>
    </row>
    <row r="1015" ht="15" customHeight="1" s="163">
      <c r="A1015" s="319">
        <f>'ESCOLA MUNICIPALIZADA FREI ANIC'!I15</f>
        <v/>
      </c>
      <c r="B1015" s="320">
        <f>'ESCOLA MUNICIPALIZADA FREI ANIC'!D15</f>
        <v/>
      </c>
    </row>
    <row r="1016" ht="15" customHeight="1" s="163">
      <c r="A1016" s="319">
        <f>'ESCOLA MUNICIPALIZADA FREI ANIC'!I16</f>
        <v/>
      </c>
      <c r="B1016" s="320">
        <f>'ESCOLA MUNICIPALIZADA FREI ANIC'!D16</f>
        <v/>
      </c>
    </row>
    <row r="1017" ht="15" customHeight="1" s="163">
      <c r="A1017" s="319">
        <f>'ESCOLA MUNICIPALIZADA FREI ANIC'!I17</f>
        <v/>
      </c>
      <c r="B1017" s="320">
        <f>'ESCOLA MUNICIPALIZADA FREI ANIC'!D17</f>
        <v/>
      </c>
    </row>
    <row r="1018" ht="15" customHeight="1" s="163">
      <c r="A1018" s="319">
        <f>'ESCOLA MUNICIPALIZADA FREI ANIC'!I18</f>
        <v/>
      </c>
      <c r="B1018" s="320">
        <f>'ESCOLA MUNICIPALIZADA FREI ANIC'!D18</f>
        <v/>
      </c>
    </row>
    <row r="1019" ht="15" customHeight="1" s="163">
      <c r="A1019" s="319">
        <f>'ESCOLA MUNICIPALIZADA FREI ANIC'!I19</f>
        <v/>
      </c>
      <c r="B1019" s="320">
        <f>'ESCOLA MUNICIPALIZADA FREI ANIC'!D19</f>
        <v/>
      </c>
    </row>
    <row r="1020" ht="15" customHeight="1" s="163">
      <c r="A1020" s="319">
        <f>'ESCOLA MUNICIPALIZADA FREI ANIC'!I20</f>
        <v/>
      </c>
      <c r="B1020" s="320">
        <f>'ESCOLA MUNICIPALIZADA FREI ANIC'!D20</f>
        <v/>
      </c>
    </row>
    <row r="1021" ht="15" customHeight="1" s="163">
      <c r="A1021" s="319">
        <f>'ESCOLA MUNICIPALIZADA FREI ANIC'!I21</f>
        <v/>
      </c>
      <c r="B1021" s="320">
        <f>'ESCOLA MUNICIPALIZADA FREI ANIC'!D21</f>
        <v/>
      </c>
    </row>
    <row r="1022" ht="15" customHeight="1" s="163">
      <c r="A1022" s="319">
        <f>'ESCOLA MUNICIPALIZADA FREI ANIC'!I22</f>
        <v/>
      </c>
      <c r="B1022" s="320">
        <f>'ESCOLA MUNICIPALIZADA FREI ANIC'!D22</f>
        <v/>
      </c>
    </row>
    <row r="1023" ht="15" customHeight="1" s="163">
      <c r="A1023" s="319">
        <f>'ESCOLA MUNICIPALIZADA FREI ANIC'!I23</f>
        <v/>
      </c>
      <c r="B1023" s="320">
        <f>'ESCOLA MUNICIPALIZADA FREI ANIC'!D23</f>
        <v/>
      </c>
    </row>
    <row r="1024" ht="15" customHeight="1" s="163">
      <c r="A1024" s="319">
        <f>'ESCOLA MUNICIPALIZADA FREI ANIC'!I24</f>
        <v/>
      </c>
      <c r="B1024" s="320">
        <f>'ESCOLA MUNICIPALIZADA FREI ANIC'!D24</f>
        <v/>
      </c>
    </row>
    <row r="1025" ht="15" customHeight="1" s="163">
      <c r="A1025" s="319">
        <f>'ESCOLA MUNICIPALIZADA FREI ANIC'!I25</f>
        <v/>
      </c>
      <c r="B1025" s="320">
        <f>'ESCOLA MUNICIPALIZADA FREI ANIC'!D25</f>
        <v/>
      </c>
    </row>
    <row r="1026" ht="15" customHeight="1" s="163">
      <c r="A1026" s="319">
        <f>'ESCOLA MUNICIPALIZADA FREI ANIC'!I26</f>
        <v/>
      </c>
      <c r="B1026" s="320">
        <f>'ESCOLA MUNICIPALIZADA FREI ANIC'!D26</f>
        <v/>
      </c>
    </row>
    <row r="1027" ht="15" customHeight="1" s="163">
      <c r="A1027" s="319">
        <f>'ESCOLA MUNICIPALIZADA FREI ANIC'!I27</f>
        <v/>
      </c>
      <c r="B1027" s="320">
        <f>'ESCOLA MUNICIPALIZADA FREI ANIC'!D27</f>
        <v/>
      </c>
    </row>
    <row r="1028" ht="15" customHeight="1" s="163">
      <c r="A1028" s="319">
        <f>'E M PEDRO AMADO'!I9</f>
        <v/>
      </c>
      <c r="B1028" s="320">
        <f>'E M PEDRO AMADO'!D9</f>
        <v/>
      </c>
    </row>
    <row r="1029" ht="15" customHeight="1" s="163">
      <c r="A1029" s="319">
        <f>'E M PEDRO AMADO'!I10</f>
        <v/>
      </c>
      <c r="B1029" s="320">
        <f>'E M PEDRO AMADO'!D10</f>
        <v/>
      </c>
    </row>
    <row r="1030" ht="15" customHeight="1" s="163">
      <c r="A1030" s="319">
        <f>'E M PEDRO AMADO'!I11</f>
        <v/>
      </c>
      <c r="B1030" s="320">
        <f>'E M PEDRO AMADO'!D11</f>
        <v/>
      </c>
    </row>
    <row r="1031" ht="15" customHeight="1" s="163">
      <c r="A1031" s="319">
        <f>'E M PEDRO AMADO'!I12</f>
        <v/>
      </c>
      <c r="B1031" s="320">
        <f>'E M PEDRO AMADO'!D12</f>
        <v/>
      </c>
    </row>
    <row r="1032" ht="15" customHeight="1" s="163">
      <c r="A1032" s="319">
        <f>'E M PEDRO AMADO'!I13</f>
        <v/>
      </c>
      <c r="B1032" s="320">
        <f>'E M PEDRO AMADO'!D13</f>
        <v/>
      </c>
    </row>
    <row r="1033" ht="15" customHeight="1" s="163">
      <c r="A1033" s="319">
        <f>'E M PEDRO AMADO'!I14</f>
        <v/>
      </c>
      <c r="B1033" s="320">
        <f>'E M PEDRO AMADO'!D14</f>
        <v/>
      </c>
    </row>
    <row r="1034" ht="15" customHeight="1" s="163">
      <c r="A1034" s="319">
        <f>'E M PEDRO AMADO'!I15</f>
        <v/>
      </c>
      <c r="B1034" s="320">
        <f>'E M PEDRO AMADO'!D15</f>
        <v/>
      </c>
    </row>
    <row r="1035" ht="15" customHeight="1" s="163">
      <c r="A1035" s="319">
        <f>'E M PEDRO AMADO'!I16</f>
        <v/>
      </c>
      <c r="B1035" s="320">
        <f>'E M PEDRO AMADO'!D16</f>
        <v/>
      </c>
    </row>
    <row r="1036" ht="15" customHeight="1" s="163">
      <c r="A1036" s="319">
        <f>'E M PEDRO AMADO'!I17</f>
        <v/>
      </c>
      <c r="B1036" s="320">
        <f>'E M PEDRO AMADO'!D17</f>
        <v/>
      </c>
    </row>
    <row r="1037" ht="15" customHeight="1" s="163">
      <c r="A1037" s="319">
        <f>'E M PEDRO AMADO'!I18</f>
        <v/>
      </c>
      <c r="B1037" s="320">
        <f>'E M PEDRO AMADO'!D18</f>
        <v/>
      </c>
    </row>
    <row r="1038" ht="15" customHeight="1" s="163">
      <c r="A1038" s="319">
        <f>'E M PEDRO AMADO'!I19</f>
        <v/>
      </c>
      <c r="B1038" s="320">
        <f>'E M PEDRO AMADO'!D19</f>
        <v/>
      </c>
    </row>
    <row r="1039" ht="15" customHeight="1" s="163">
      <c r="A1039" s="319">
        <f>'E M PEDRO AMADO'!I20</f>
        <v/>
      </c>
      <c r="B1039" s="320">
        <f>'E M PEDRO AMADO'!D20</f>
        <v/>
      </c>
    </row>
    <row r="1040" ht="15" customHeight="1" s="163">
      <c r="A1040" s="319">
        <f>'E M PEDRO AMADO'!I21</f>
        <v/>
      </c>
      <c r="B1040" s="320">
        <f>'E M PEDRO AMADO'!D21</f>
        <v/>
      </c>
    </row>
    <row r="1041" ht="15" customHeight="1" s="163">
      <c r="A1041" s="319">
        <f>'E M PEDRO AMADO'!I22</f>
        <v/>
      </c>
      <c r="B1041" s="320">
        <f>'E M PEDRO AMADO'!D22</f>
        <v/>
      </c>
    </row>
    <row r="1042" ht="15" customHeight="1" s="163">
      <c r="A1042" s="319">
        <f>'E M PEDRO AMADO'!I23</f>
        <v/>
      </c>
      <c r="B1042" s="320">
        <f>'E M PEDRO AMADO'!D23</f>
        <v/>
      </c>
    </row>
    <row r="1043" ht="15" customHeight="1" s="163">
      <c r="A1043" s="319">
        <f>'E M PEDRO AMADO'!I24</f>
        <v/>
      </c>
      <c r="B1043" s="320">
        <f>'E M PEDRO AMADO'!D24</f>
        <v/>
      </c>
    </row>
    <row r="1044" ht="15" customHeight="1" s="163">
      <c r="A1044" s="319">
        <f>'E M PEDRO AMADO'!I25</f>
        <v/>
      </c>
      <c r="B1044" s="320">
        <f>'E M PEDRO AMADO'!D25</f>
        <v/>
      </c>
    </row>
    <row r="1045" ht="15" customHeight="1" s="163">
      <c r="A1045" s="319">
        <f>'E M PEDRO AMADO'!I26</f>
        <v/>
      </c>
      <c r="B1045" s="320">
        <f>'E M PEDRO AMADO'!D26</f>
        <v/>
      </c>
    </row>
    <row r="1046" ht="15" customHeight="1" s="163">
      <c r="A1046" s="319">
        <f>'E M PEDRO AMADO'!I27</f>
        <v/>
      </c>
      <c r="B1046" s="320">
        <f>'E M PEDRO AMADO'!D27</f>
        <v/>
      </c>
    </row>
    <row r="1047" ht="15" customHeight="1" s="163">
      <c r="A1047" s="319">
        <f>'E M PROFª MARIA DA GLÓRIA QUEIR'!I9</f>
        <v/>
      </c>
      <c r="B1047" s="320">
        <f>'E M PROFª MARIA DA GLÓRIA QUEIR'!D9</f>
        <v/>
      </c>
    </row>
    <row r="1048" ht="15" customHeight="1" s="163">
      <c r="A1048" s="319">
        <f>'E M PROFª MARIA DA GLÓRIA QUEIR'!I10</f>
        <v/>
      </c>
      <c r="B1048" s="320">
        <f>'E M PROFª MARIA DA GLÓRIA QUEIR'!D10</f>
        <v/>
      </c>
    </row>
    <row r="1049" ht="15" customHeight="1" s="163">
      <c r="A1049" s="319">
        <f>'E M PROFª MARIA DA GLÓRIA QUEIR'!I11</f>
        <v/>
      </c>
      <c r="B1049" s="320">
        <f>'E M PROFª MARIA DA GLÓRIA QUEIR'!D11</f>
        <v/>
      </c>
    </row>
    <row r="1050" ht="15" customHeight="1" s="163">
      <c r="A1050" s="319">
        <f>'E M PROFª MARIA DA GLÓRIA QUEIR'!I12</f>
        <v/>
      </c>
      <c r="B1050" s="320">
        <f>'E M PROFª MARIA DA GLÓRIA QUEIR'!D12</f>
        <v/>
      </c>
    </row>
    <row r="1051" ht="15" customHeight="1" s="163">
      <c r="A1051" s="319">
        <f>'E M PROFª MARIA DA GLÓRIA QUEIR'!I13</f>
        <v/>
      </c>
      <c r="B1051" s="320">
        <f>'E M PROFª MARIA DA GLÓRIA QUEIR'!D13</f>
        <v/>
      </c>
    </row>
    <row r="1052" ht="15" customHeight="1" s="163">
      <c r="A1052" s="319">
        <f>'E M PROFª MARIA DA GLÓRIA QUEIR'!I14</f>
        <v/>
      </c>
      <c r="B1052" s="320">
        <f>'E M PROFª MARIA DA GLÓRIA QUEIR'!D14</f>
        <v/>
      </c>
    </row>
    <row r="1053" ht="15" customHeight="1" s="163">
      <c r="A1053" s="319">
        <f>'E M PROFª MARIA DA GLÓRIA QUEIR'!I15</f>
        <v/>
      </c>
      <c r="B1053" s="320">
        <f>'E M PROFª MARIA DA GLÓRIA QUEIR'!D15</f>
        <v/>
      </c>
    </row>
    <row r="1054" ht="15" customHeight="1" s="163">
      <c r="A1054" s="319">
        <f>'E M PROFª MARIA DA GLÓRIA QUEIR'!I16</f>
        <v/>
      </c>
      <c r="B1054" s="320">
        <f>'E M PROFª MARIA DA GLÓRIA QUEIR'!D16</f>
        <v/>
      </c>
    </row>
    <row r="1055" ht="15" customHeight="1" s="163">
      <c r="A1055" s="319">
        <f>'E M PROFª MARIA DA GLÓRIA QUEIR'!I17</f>
        <v/>
      </c>
      <c r="B1055" s="320">
        <f>'E M PROFª MARIA DA GLÓRIA QUEIR'!D17</f>
        <v/>
      </c>
    </row>
    <row r="1056" ht="15" customHeight="1" s="163">
      <c r="A1056" s="319">
        <f>'E M PROFª MARIA DA GLÓRIA QUEIR'!I18</f>
        <v/>
      </c>
      <c r="B1056" s="320">
        <f>'E M PROFª MARIA DA GLÓRIA QUEIR'!D18</f>
        <v/>
      </c>
    </row>
    <row r="1057" ht="15" customHeight="1" s="163">
      <c r="A1057" s="319">
        <f>'E M PROFª MARIA DA GLÓRIA QUEIR'!I19</f>
        <v/>
      </c>
      <c r="B1057" s="320">
        <f>'E M PROFª MARIA DA GLÓRIA QUEIR'!D19</f>
        <v/>
      </c>
    </row>
    <row r="1058" ht="15" customHeight="1" s="163">
      <c r="A1058" s="319">
        <f>'E M PROFª MARIA DA GLÓRIA QUEIR'!I20</f>
        <v/>
      </c>
      <c r="B1058" s="320">
        <f>'E M PROFª MARIA DA GLÓRIA QUEIR'!D20</f>
        <v/>
      </c>
    </row>
    <row r="1059" ht="15" customHeight="1" s="163">
      <c r="A1059" s="319">
        <f>'E M PROFª MARIA DA GLÓRIA QUEIR'!I21</f>
        <v/>
      </c>
      <c r="B1059" s="320">
        <f>'E M PROFª MARIA DA GLÓRIA QUEIR'!D21</f>
        <v/>
      </c>
    </row>
    <row r="1060" ht="15" customHeight="1" s="163">
      <c r="A1060" s="319">
        <f>'E M PROFª MARIA DA GLÓRIA QUEIR'!I22</f>
        <v/>
      </c>
      <c r="B1060" s="320">
        <f>'E M PROFª MARIA DA GLÓRIA QUEIR'!D22</f>
        <v/>
      </c>
    </row>
    <row r="1061" ht="15" customHeight="1" s="163">
      <c r="A1061" s="319">
        <f>'E M PROFª MARIA DA GLÓRIA QUEIR'!I23</f>
        <v/>
      </c>
      <c r="B1061" s="320">
        <f>'E M PROFª MARIA DA GLÓRIA QUEIR'!D23</f>
        <v/>
      </c>
    </row>
    <row r="1062" ht="15" customHeight="1" s="163">
      <c r="A1062" s="319">
        <f>'E M PROFª MARIA DA GLÓRIA QUEIR'!I24</f>
        <v/>
      </c>
      <c r="B1062" s="320">
        <f>'E M PROFª MARIA DA GLÓRIA QUEIR'!D24</f>
        <v/>
      </c>
    </row>
    <row r="1063" ht="15" customHeight="1" s="163">
      <c r="A1063" s="319">
        <f>'E M PROFª MARIA DA GLÓRIA QUEIR'!I25</f>
        <v/>
      </c>
      <c r="B1063" s="320">
        <f>'E M PROFª MARIA DA GLÓRIA QUEIR'!D25</f>
        <v/>
      </c>
    </row>
    <row r="1064" ht="15" customHeight="1" s="163">
      <c r="A1064" s="319">
        <f>'E M PROFª MARIA DA GLÓRIA QUEIR'!I26</f>
        <v/>
      </c>
      <c r="B1064" s="320">
        <f>'E M PROFª MARIA DA GLÓRIA QUEIR'!D26</f>
        <v/>
      </c>
    </row>
    <row r="1065" ht="15" customHeight="1" s="163">
      <c r="A1065" s="319">
        <f>'E M PROFª MARIA DA GLÓRIA QUEIR'!I27</f>
        <v/>
      </c>
      <c r="B1065" s="320">
        <f>'E M PROFª MARIA DA GLÓRIA QUEIR'!D27</f>
        <v/>
      </c>
    </row>
    <row r="1066" ht="15" customHeight="1" s="163">
      <c r="A1066" s="319">
        <f>'E M SEBASTIÃO LACERDA'!I9</f>
        <v/>
      </c>
      <c r="B1066" s="320">
        <f>'E M SEBASTIÃO LACERDA'!D9</f>
        <v/>
      </c>
    </row>
    <row r="1067" ht="15" customHeight="1" s="163">
      <c r="A1067" s="319">
        <f>'E M SEBASTIÃO LACERDA'!I10</f>
        <v/>
      </c>
      <c r="B1067" s="320">
        <f>'E M SEBASTIÃO LACERDA'!D10</f>
        <v/>
      </c>
    </row>
    <row r="1068" ht="15" customHeight="1" s="163">
      <c r="A1068" s="319">
        <f>'E M SEBASTIÃO LACERDA'!I11</f>
        <v/>
      </c>
      <c r="B1068" s="320">
        <f>'E M SEBASTIÃO LACERDA'!D11</f>
        <v/>
      </c>
    </row>
    <row r="1069" ht="15" customHeight="1" s="163">
      <c r="A1069" s="319">
        <f>'E M SEBASTIÃO LACERDA'!I12</f>
        <v/>
      </c>
      <c r="B1069" s="320">
        <f>'E M SEBASTIÃO LACERDA'!D12</f>
        <v/>
      </c>
    </row>
    <row r="1070" ht="15" customHeight="1" s="163">
      <c r="A1070" s="319">
        <f>'E M SEBASTIÃO LACERDA'!I13</f>
        <v/>
      </c>
      <c r="B1070" s="320">
        <f>'E M SEBASTIÃO LACERDA'!D13</f>
        <v/>
      </c>
    </row>
    <row r="1071" ht="15" customHeight="1" s="163">
      <c r="A1071" s="319">
        <f>'E M SEBASTIÃO LACERDA'!I14</f>
        <v/>
      </c>
      <c r="B1071" s="320">
        <f>'E M SEBASTIÃO LACERDA'!D14</f>
        <v/>
      </c>
    </row>
    <row r="1072" ht="15" customHeight="1" s="163">
      <c r="A1072" s="319">
        <f>'E M SEBASTIÃO LACERDA'!I15</f>
        <v/>
      </c>
      <c r="B1072" s="320">
        <f>'E M SEBASTIÃO LACERDA'!D15</f>
        <v/>
      </c>
    </row>
    <row r="1073" ht="15" customHeight="1" s="163">
      <c r="A1073" s="319">
        <f>'E M SEBASTIÃO LACERDA'!I16</f>
        <v/>
      </c>
      <c r="B1073" s="320">
        <f>'E M SEBASTIÃO LACERDA'!D16</f>
        <v/>
      </c>
    </row>
    <row r="1074" ht="15" customHeight="1" s="163">
      <c r="A1074" s="319">
        <f>'E M SEBASTIÃO LACERDA'!I17</f>
        <v/>
      </c>
      <c r="B1074" s="320">
        <f>'E M SEBASTIÃO LACERDA'!D17</f>
        <v/>
      </c>
    </row>
    <row r="1075" ht="15" customHeight="1" s="163">
      <c r="A1075" s="319">
        <f>'E M SEBASTIÃO LACERDA'!I18</f>
        <v/>
      </c>
      <c r="B1075" s="320">
        <f>'E M SEBASTIÃO LACERDA'!D18</f>
        <v/>
      </c>
    </row>
    <row r="1076" ht="15" customHeight="1" s="163">
      <c r="A1076" s="319">
        <f>'E M SEBASTIÃO LACERDA'!I19</f>
        <v/>
      </c>
      <c r="B1076" s="320">
        <f>'E M SEBASTIÃO LACERDA'!D19</f>
        <v/>
      </c>
    </row>
    <row r="1077" ht="15" customHeight="1" s="163">
      <c r="A1077" s="319">
        <f>'E M SEBASTIÃO LACERDA'!I20</f>
        <v/>
      </c>
      <c r="B1077" s="320">
        <f>'E M SEBASTIÃO LACERDA'!D20</f>
        <v/>
      </c>
    </row>
    <row r="1078" ht="15" customHeight="1" s="163">
      <c r="A1078" s="319">
        <f>'E M SEBASTIÃO LACERDA'!I21</f>
        <v/>
      </c>
      <c r="B1078" s="320">
        <f>'E M SEBASTIÃO LACERDA'!D21</f>
        <v/>
      </c>
    </row>
    <row r="1079" ht="15" customHeight="1" s="163">
      <c r="A1079" s="319">
        <f>'E M SEBASTIÃO LACERDA'!I22</f>
        <v/>
      </c>
      <c r="B1079" s="320">
        <f>'E M SEBASTIÃO LACERDA'!D22</f>
        <v/>
      </c>
    </row>
    <row r="1080" ht="15" customHeight="1" s="163">
      <c r="A1080" s="319">
        <f>'E M SEBASTIÃO LACERDA'!I23</f>
        <v/>
      </c>
      <c r="B1080" s="320">
        <f>'E M SEBASTIÃO LACERDA'!D23</f>
        <v/>
      </c>
    </row>
    <row r="1081" ht="15" customHeight="1" s="163">
      <c r="A1081" s="319">
        <f>'E M SEBASTIÃO LACERDA'!I24</f>
        <v/>
      </c>
      <c r="B1081" s="320">
        <f>'E M SEBASTIÃO LACERDA'!D24</f>
        <v/>
      </c>
    </row>
    <row r="1082" ht="15" customHeight="1" s="163">
      <c r="A1082" s="319">
        <f>'E M SEBASTIÃO LACERDA'!I25</f>
        <v/>
      </c>
      <c r="B1082" s="320">
        <f>'E M SEBASTIÃO LACERDA'!D25</f>
        <v/>
      </c>
    </row>
    <row r="1083" ht="15" customHeight="1" s="163">
      <c r="A1083" s="319">
        <f>'E M SEBASTIÃO LACERDA'!I26</f>
        <v/>
      </c>
      <c r="B1083" s="320">
        <f>'E M SEBASTIÃO LACERDA'!D26</f>
        <v/>
      </c>
    </row>
    <row r="1084" ht="15" customHeight="1" s="163">
      <c r="A1084" s="319">
        <f>'E M SEBASTIÃO LACERDA'!I27</f>
        <v/>
      </c>
      <c r="B1084" s="320">
        <f>'E M SEBASTIÃO LACERDA'!D27</f>
        <v/>
      </c>
    </row>
    <row r="1085" ht="15" customHeight="1" s="163">
      <c r="A1085" s="319">
        <f>'E M PROFESSOR FLÁVIO MACIEL'!I9</f>
        <v/>
      </c>
      <c r="B1085" s="320">
        <f>'E M PROFESSOR FLÁVIO MACIEL'!D9</f>
        <v/>
      </c>
    </row>
    <row r="1086" ht="15" customHeight="1" s="163">
      <c r="A1086" s="319">
        <f>'E M PROFESSOR FLÁVIO MACIEL'!I10</f>
        <v/>
      </c>
      <c r="B1086" s="320">
        <f>'E M PROFESSOR FLÁVIO MACIEL'!D10</f>
        <v/>
      </c>
    </row>
    <row r="1087" ht="15" customHeight="1" s="163">
      <c r="A1087" s="319">
        <f>'E M PROFESSOR FLÁVIO MACIEL'!I11</f>
        <v/>
      </c>
      <c r="B1087" s="320">
        <f>'E M PROFESSOR FLÁVIO MACIEL'!D11</f>
        <v/>
      </c>
    </row>
    <row r="1088" ht="15" customHeight="1" s="163">
      <c r="A1088" s="319">
        <f>'E M PROFESSOR FLÁVIO MACIEL'!I12</f>
        <v/>
      </c>
      <c r="B1088" s="320">
        <f>'E M PROFESSOR FLÁVIO MACIEL'!D12</f>
        <v/>
      </c>
    </row>
    <row r="1089" ht="15" customHeight="1" s="163">
      <c r="A1089" s="319">
        <f>'E M PROFESSOR FLÁVIO MACIEL'!I13</f>
        <v/>
      </c>
      <c r="B1089" s="320">
        <f>'E M PROFESSOR FLÁVIO MACIEL'!D13</f>
        <v/>
      </c>
    </row>
    <row r="1090" ht="15" customHeight="1" s="163">
      <c r="A1090" s="319">
        <f>'E M PROFESSOR FLÁVIO MACIEL'!I14</f>
        <v/>
      </c>
      <c r="B1090" s="320">
        <f>'E M PROFESSOR FLÁVIO MACIEL'!D14</f>
        <v/>
      </c>
    </row>
    <row r="1091" ht="15" customHeight="1" s="163">
      <c r="A1091" s="319">
        <f>'E M PROFESSOR FLÁVIO MACIEL'!I15</f>
        <v/>
      </c>
      <c r="B1091" s="320">
        <f>'E M PROFESSOR FLÁVIO MACIEL'!D15</f>
        <v/>
      </c>
    </row>
    <row r="1092" ht="15" customHeight="1" s="163">
      <c r="A1092" s="319">
        <f>'E M PROFESSOR FLÁVIO MACIEL'!I16</f>
        <v/>
      </c>
      <c r="B1092" s="320">
        <f>'E M PROFESSOR FLÁVIO MACIEL'!D16</f>
        <v/>
      </c>
    </row>
    <row r="1093" ht="15" customHeight="1" s="163">
      <c r="A1093" s="319">
        <f>'E M PROFESSOR FLÁVIO MACIEL'!I17</f>
        <v/>
      </c>
      <c r="B1093" s="320">
        <f>'E M PROFESSOR FLÁVIO MACIEL'!D17</f>
        <v/>
      </c>
    </row>
    <row r="1094" ht="15" customHeight="1" s="163">
      <c r="A1094" s="319">
        <f>'E M PROFESSOR FLÁVIO MACIEL'!I18</f>
        <v/>
      </c>
      <c r="B1094" s="320">
        <f>'E M PROFESSOR FLÁVIO MACIEL'!D18</f>
        <v/>
      </c>
    </row>
    <row r="1095" ht="15" customHeight="1" s="163">
      <c r="A1095" s="319">
        <f>'E M PROFESSOR FLÁVIO MACIEL'!I19</f>
        <v/>
      </c>
      <c r="B1095" s="320">
        <f>'E M PROFESSOR FLÁVIO MACIEL'!D19</f>
        <v/>
      </c>
    </row>
    <row r="1096" ht="15" customHeight="1" s="163">
      <c r="A1096" s="319">
        <f>'E M PROFESSOR FLÁVIO MACIEL'!I20</f>
        <v/>
      </c>
      <c r="B1096" s="320">
        <f>'E M PROFESSOR FLÁVIO MACIEL'!D20</f>
        <v/>
      </c>
    </row>
    <row r="1097" ht="15" customHeight="1" s="163">
      <c r="A1097" s="319">
        <f>'E M PROFESSOR FLÁVIO MACIEL'!I21</f>
        <v/>
      </c>
      <c r="B1097" s="320">
        <f>'E M PROFESSOR FLÁVIO MACIEL'!D21</f>
        <v/>
      </c>
    </row>
    <row r="1098" ht="15" customHeight="1" s="163">
      <c r="A1098" s="319">
        <f>'E M PROFESSOR FLÁVIO MACIEL'!I22</f>
        <v/>
      </c>
      <c r="B1098" s="320">
        <f>'E M PROFESSOR FLÁVIO MACIEL'!D22</f>
        <v/>
      </c>
    </row>
    <row r="1099" ht="15" customHeight="1" s="163">
      <c r="A1099" s="319">
        <f>'E M PROFESSOR FLÁVIO MACIEL'!I23</f>
        <v/>
      </c>
      <c r="B1099" s="320">
        <f>'E M PROFESSOR FLÁVIO MACIEL'!D23</f>
        <v/>
      </c>
    </row>
    <row r="1100" ht="15" customHeight="1" s="163">
      <c r="A1100" s="319">
        <f>'E M PROFESSOR FLÁVIO MACIEL'!I24</f>
        <v/>
      </c>
      <c r="B1100" s="320">
        <f>'E M PROFESSOR FLÁVIO MACIEL'!D24</f>
        <v/>
      </c>
    </row>
    <row r="1101" ht="15" customHeight="1" s="163">
      <c r="A1101" s="319">
        <f>'E M PROFESSOR FLÁVIO MACIEL'!I25</f>
        <v/>
      </c>
      <c r="B1101" s="320">
        <f>'E M PROFESSOR FLÁVIO MACIEL'!D25</f>
        <v/>
      </c>
    </row>
    <row r="1102" ht="15" customHeight="1" s="163">
      <c r="A1102" s="319">
        <f>'E M PROFESSOR FLÁVIO MACIEL'!I26</f>
        <v/>
      </c>
      <c r="B1102" s="320">
        <f>'E M PROFESSOR FLÁVIO MACIEL'!D26</f>
        <v/>
      </c>
    </row>
    <row r="1103" ht="15" customHeight="1" s="163">
      <c r="A1103" s="319">
        <f>'E M PROFESSOR FLÁVIO MACIEL'!I27</f>
        <v/>
      </c>
      <c r="B1103" s="320">
        <f>'E M PROFESSOR FLÁVIO MACIEL'!D27</f>
        <v/>
      </c>
    </row>
    <row r="1104" ht="15" customHeight="1" s="163">
      <c r="A1104" s="319">
        <f>'ESCOLA MUNICIPAL PAULO SALDANHA'!I9</f>
        <v/>
      </c>
      <c r="B1104" s="320">
        <f>'ESCOLA MUNICIPAL PAULO SALDANHA'!D9</f>
        <v/>
      </c>
    </row>
    <row r="1105" ht="15" customHeight="1" s="163">
      <c r="A1105" s="319">
        <f>'ESCOLA MUNICIPAL PAULO SALDANHA'!I10</f>
        <v/>
      </c>
      <c r="B1105" s="320">
        <f>'ESCOLA MUNICIPAL PAULO SALDANHA'!D10</f>
        <v/>
      </c>
    </row>
    <row r="1106" ht="15" customHeight="1" s="163">
      <c r="A1106" s="319">
        <f>'ESCOLA MUNICIPAL PAULO SALDANHA'!I11</f>
        <v/>
      </c>
      <c r="B1106" s="320">
        <f>'ESCOLA MUNICIPAL PAULO SALDANHA'!D11</f>
        <v/>
      </c>
    </row>
    <row r="1107" ht="15" customHeight="1" s="163">
      <c r="A1107" s="319">
        <f>'ESCOLA MUNICIPAL PAULO SALDANHA'!I12</f>
        <v/>
      </c>
      <c r="B1107" s="320">
        <f>'ESCOLA MUNICIPAL PAULO SALDANHA'!D12</f>
        <v/>
      </c>
    </row>
    <row r="1108" ht="15" customHeight="1" s="163">
      <c r="A1108" s="319">
        <f>'ESCOLA MUNICIPAL PAULO SALDANHA'!I13</f>
        <v/>
      </c>
      <c r="B1108" s="320">
        <f>'ESCOLA MUNICIPAL PAULO SALDANHA'!D13</f>
        <v/>
      </c>
    </row>
    <row r="1109" ht="15" customHeight="1" s="163">
      <c r="A1109" s="319">
        <f>'ESCOLA MUNICIPAL PAULO SALDANHA'!I14</f>
        <v/>
      </c>
      <c r="B1109" s="320">
        <f>'ESCOLA MUNICIPAL PAULO SALDANHA'!D14</f>
        <v/>
      </c>
    </row>
    <row r="1110" ht="15" customHeight="1" s="163">
      <c r="A1110" s="319">
        <f>'ESCOLA MUNICIPAL PAULO SALDANHA'!I15</f>
        <v/>
      </c>
      <c r="B1110" s="320">
        <f>'ESCOLA MUNICIPAL PAULO SALDANHA'!D15</f>
        <v/>
      </c>
    </row>
    <row r="1111" ht="15" customHeight="1" s="163">
      <c r="A1111" s="319">
        <f>'ESCOLA MUNICIPAL PAULO SALDANHA'!I16</f>
        <v/>
      </c>
      <c r="B1111" s="320">
        <f>'ESCOLA MUNICIPAL PAULO SALDANHA'!D16</f>
        <v/>
      </c>
    </row>
    <row r="1112" ht="15" customHeight="1" s="163">
      <c r="A1112" s="319">
        <f>'ESCOLA MUNICIPAL PAULO SALDANHA'!I17</f>
        <v/>
      </c>
      <c r="B1112" s="320">
        <f>'ESCOLA MUNICIPAL PAULO SALDANHA'!D17</f>
        <v/>
      </c>
    </row>
    <row r="1113" ht="15" customHeight="1" s="163">
      <c r="A1113" s="319">
        <f>'ESCOLA MUNICIPAL PAULO SALDANHA'!I18</f>
        <v/>
      </c>
      <c r="B1113" s="320">
        <f>'ESCOLA MUNICIPAL PAULO SALDANHA'!D18</f>
        <v/>
      </c>
    </row>
    <row r="1114" ht="15" customHeight="1" s="163">
      <c r="A1114" s="319">
        <f>'ESCOLA MUNICIPAL PAULO SALDANHA'!I19</f>
        <v/>
      </c>
      <c r="B1114" s="320">
        <f>'ESCOLA MUNICIPAL PAULO SALDANHA'!D19</f>
        <v/>
      </c>
    </row>
    <row r="1115" ht="15" customHeight="1" s="163">
      <c r="A1115" s="319">
        <f>'ESCOLA MUNICIPAL PAULO SALDANHA'!I20</f>
        <v/>
      </c>
      <c r="B1115" s="320">
        <f>'ESCOLA MUNICIPAL PAULO SALDANHA'!D20</f>
        <v/>
      </c>
    </row>
    <row r="1116" ht="15" customHeight="1" s="163">
      <c r="A1116" s="319">
        <f>'ESCOLA MUNICIPAL PAULO SALDANHA'!I21</f>
        <v/>
      </c>
      <c r="B1116" s="320">
        <f>'ESCOLA MUNICIPAL PAULO SALDANHA'!D21</f>
        <v/>
      </c>
    </row>
    <row r="1117" ht="15" customHeight="1" s="163">
      <c r="A1117" s="319">
        <f>'ESCOLA MUNICIPAL PAULO SALDANHA'!I22</f>
        <v/>
      </c>
      <c r="B1117" s="320">
        <f>'ESCOLA MUNICIPAL PAULO SALDANHA'!D22</f>
        <v/>
      </c>
    </row>
    <row r="1118" ht="15" customHeight="1" s="163">
      <c r="A1118" s="319">
        <f>'ESCOLA MUNICIPAL PAULO SALDANHA'!I23</f>
        <v/>
      </c>
      <c r="B1118" s="320">
        <f>'ESCOLA MUNICIPAL PAULO SALDANHA'!D23</f>
        <v/>
      </c>
    </row>
    <row r="1119" ht="15" customHeight="1" s="163">
      <c r="A1119" s="319">
        <f>'ESCOLA MUNICIPAL PAULO SALDANHA'!I24</f>
        <v/>
      </c>
      <c r="B1119" s="320">
        <f>'ESCOLA MUNICIPAL PAULO SALDANHA'!D24</f>
        <v/>
      </c>
    </row>
    <row r="1120" ht="15" customHeight="1" s="163">
      <c r="A1120" s="319">
        <f>'ESCOLA MUNICIPAL PAULO SALDANHA'!I25</f>
        <v/>
      </c>
      <c r="B1120" s="320">
        <f>'ESCOLA MUNICIPAL PAULO SALDANHA'!D25</f>
        <v/>
      </c>
    </row>
    <row r="1121" ht="15" customHeight="1" s="163">
      <c r="A1121" s="319">
        <f>'ESCOLA MUNICIPAL PAULO SALDANHA'!I26</f>
        <v/>
      </c>
      <c r="B1121" s="320">
        <f>'ESCOLA MUNICIPAL PAULO SALDANHA'!D26</f>
        <v/>
      </c>
    </row>
    <row r="1122" ht="15" customHeight="1" s="163">
      <c r="A1122" s="319">
        <f>'ESCOLA MUNICIPAL PAULO SALDANHA'!I27</f>
        <v/>
      </c>
      <c r="B1122" s="320">
        <f>'ESCOLA MUNICIPAL PAULO SALDANHA'!D27</f>
        <v/>
      </c>
    </row>
    <row r="1123" ht="15" customHeight="1" s="163">
      <c r="A1123" s="319">
        <f>'ESCOLA MUNICIPAL PROFESSOR JOSE'!I9</f>
        <v/>
      </c>
      <c r="B1123" s="320">
        <f>'ESCOLA MUNICIPAL PROFESSOR JOSE'!D9</f>
        <v/>
      </c>
    </row>
    <row r="1124" ht="15" customHeight="1" s="163">
      <c r="A1124" s="319">
        <f>'ESCOLA MUNICIPAL PROFESSOR JOSE'!I10</f>
        <v/>
      </c>
      <c r="B1124" s="320">
        <f>'ESCOLA MUNICIPAL PROFESSOR JOSE'!D10</f>
        <v/>
      </c>
    </row>
    <row r="1125" ht="15" customHeight="1" s="163">
      <c r="A1125" s="319">
        <f>'ESCOLA MUNICIPAL PROFESSOR JOSE'!I11</f>
        <v/>
      </c>
      <c r="B1125" s="320">
        <f>'ESCOLA MUNICIPAL PROFESSOR JOSE'!D11</f>
        <v/>
      </c>
    </row>
    <row r="1126" ht="15" customHeight="1" s="163">
      <c r="A1126" s="319">
        <f>'ESCOLA MUNICIPAL PROFESSOR JOSE'!I12</f>
        <v/>
      </c>
      <c r="B1126" s="320">
        <f>'ESCOLA MUNICIPAL PROFESSOR JOSE'!D12</f>
        <v/>
      </c>
    </row>
    <row r="1127" ht="15" customHeight="1" s="163">
      <c r="A1127" s="319">
        <f>'ESCOLA MUNICIPAL PROFESSOR JOSE'!I13</f>
        <v/>
      </c>
      <c r="B1127" s="320">
        <f>'ESCOLA MUNICIPAL PROFESSOR JOSE'!D13</f>
        <v/>
      </c>
    </row>
    <row r="1128" ht="15" customHeight="1" s="163">
      <c r="A1128" s="319">
        <f>'ESCOLA MUNICIPAL PROFESSOR JOSE'!I14</f>
        <v/>
      </c>
      <c r="B1128" s="320">
        <f>'ESCOLA MUNICIPAL PROFESSOR JOSE'!D14</f>
        <v/>
      </c>
    </row>
    <row r="1129" ht="15" customHeight="1" s="163">
      <c r="A1129" s="319">
        <f>'ESCOLA MUNICIPAL PROFESSOR JOSE'!I15</f>
        <v/>
      </c>
      <c r="B1129" s="320">
        <f>'ESCOLA MUNICIPAL PROFESSOR JOSE'!D15</f>
        <v/>
      </c>
    </row>
    <row r="1130" ht="15" customHeight="1" s="163">
      <c r="A1130" s="319">
        <f>'ESCOLA MUNICIPAL PROFESSOR JOSE'!I16</f>
        <v/>
      </c>
      <c r="B1130" s="320">
        <f>'ESCOLA MUNICIPAL PROFESSOR JOSE'!D16</f>
        <v/>
      </c>
    </row>
    <row r="1131" ht="15" customHeight="1" s="163">
      <c r="A1131" s="319">
        <f>'ESCOLA MUNICIPAL PROFESSOR JOSE'!I17</f>
        <v/>
      </c>
      <c r="B1131" s="320">
        <f>'ESCOLA MUNICIPAL PROFESSOR JOSE'!D17</f>
        <v/>
      </c>
    </row>
    <row r="1132" ht="15" customHeight="1" s="163">
      <c r="A1132" s="319">
        <f>'ESCOLA MUNICIPAL PROFESSOR JOSE'!I18</f>
        <v/>
      </c>
      <c r="B1132" s="320">
        <f>'ESCOLA MUNICIPAL PROFESSOR JOSE'!D18</f>
        <v/>
      </c>
    </row>
    <row r="1133" ht="15" customHeight="1" s="163">
      <c r="A1133" s="319">
        <f>'ESCOLA MUNICIPAL PROFESSOR JOSE'!I19</f>
        <v/>
      </c>
      <c r="B1133" s="320">
        <f>'ESCOLA MUNICIPAL PROFESSOR JOSE'!D19</f>
        <v/>
      </c>
    </row>
    <row r="1134" ht="15" customHeight="1" s="163">
      <c r="A1134" s="319">
        <f>'ESCOLA MUNICIPAL PROFESSOR JOSE'!I20</f>
        <v/>
      </c>
      <c r="B1134" s="320">
        <f>'ESCOLA MUNICIPAL PROFESSOR JOSE'!D20</f>
        <v/>
      </c>
    </row>
    <row r="1135" ht="15" customHeight="1" s="163">
      <c r="A1135" s="319">
        <f>'ESCOLA MUNICIPAL PROFESSOR JOSE'!I21</f>
        <v/>
      </c>
      <c r="B1135" s="320">
        <f>'ESCOLA MUNICIPAL PROFESSOR JOSE'!D21</f>
        <v/>
      </c>
    </row>
    <row r="1136" ht="15" customHeight="1" s="163">
      <c r="A1136" s="319">
        <f>'ESCOLA MUNICIPAL PROFESSOR JOSE'!I22</f>
        <v/>
      </c>
      <c r="B1136" s="320">
        <f>'ESCOLA MUNICIPAL PROFESSOR JOSE'!D22</f>
        <v/>
      </c>
    </row>
    <row r="1137" ht="15" customHeight="1" s="163">
      <c r="A1137" s="319">
        <f>'ESCOLA MUNICIPAL PROFESSOR JOSE'!I23</f>
        <v/>
      </c>
      <c r="B1137" s="320">
        <f>'ESCOLA MUNICIPAL PROFESSOR JOSE'!D23</f>
        <v/>
      </c>
    </row>
    <row r="1138" ht="15" customHeight="1" s="163">
      <c r="A1138" s="319">
        <f>'ESCOLA MUNICIPAL PROFESSOR JOSE'!I24</f>
        <v/>
      </c>
      <c r="B1138" s="320">
        <f>'ESCOLA MUNICIPAL PROFESSOR JOSE'!D24</f>
        <v/>
      </c>
    </row>
    <row r="1139" ht="15" customHeight="1" s="163">
      <c r="A1139" s="319">
        <f>'ESCOLA MUNICIPAL PROFESSOR JOSE'!I25</f>
        <v/>
      </c>
      <c r="B1139" s="320">
        <f>'ESCOLA MUNICIPAL PROFESSOR JOSE'!D25</f>
        <v/>
      </c>
    </row>
    <row r="1140" ht="15" customHeight="1" s="163">
      <c r="A1140" s="319">
        <f>'ESCOLA MUNICIPAL PROFESSOR JOSE'!I26</f>
        <v/>
      </c>
      <c r="B1140" s="320">
        <f>'ESCOLA MUNICIPAL PROFESSOR JOSE'!D26</f>
        <v/>
      </c>
    </row>
    <row r="1141" ht="15" customHeight="1" s="163">
      <c r="A1141" s="319">
        <f>'ESCOLA MUNICIPAL PROFESSOR JOSE'!I27</f>
        <v/>
      </c>
      <c r="B1141" s="320">
        <f>'ESCOLA MUNICIPAL PROFESSOR JOSE'!D27</f>
        <v/>
      </c>
    </row>
    <row r="1142" ht="15" customHeight="1" s="163">
      <c r="A1142" s="319">
        <f>'E M MONSENHOR CIRILLO CALAON'!I9</f>
        <v/>
      </c>
      <c r="B1142" s="320">
        <f>'E M MONSENHOR CIRILLO CALAON'!D9</f>
        <v/>
      </c>
    </row>
    <row r="1143" ht="15" customHeight="1" s="163">
      <c r="A1143" s="319">
        <f>'E M MONSENHOR CIRILLO CALAON'!I10</f>
        <v/>
      </c>
      <c r="B1143" s="320">
        <f>'E M MONSENHOR CIRILLO CALAON'!D10</f>
        <v/>
      </c>
    </row>
    <row r="1144" ht="15" customHeight="1" s="163">
      <c r="A1144" s="319">
        <f>'E M MONSENHOR CIRILLO CALAON'!I11</f>
        <v/>
      </c>
      <c r="B1144" s="320">
        <f>'E M MONSENHOR CIRILLO CALAON'!D11</f>
        <v/>
      </c>
    </row>
    <row r="1145" ht="15" customHeight="1" s="163">
      <c r="A1145" s="319">
        <f>'E M MONSENHOR CIRILLO CALAON'!I12</f>
        <v/>
      </c>
      <c r="B1145" s="320">
        <f>'E M MONSENHOR CIRILLO CALAON'!D12</f>
        <v/>
      </c>
    </row>
    <row r="1146" ht="15" customHeight="1" s="163">
      <c r="A1146" s="319">
        <f>'E M MONSENHOR CIRILLO CALAON'!I13</f>
        <v/>
      </c>
      <c r="B1146" s="320">
        <f>'E M MONSENHOR CIRILLO CALAON'!D13</f>
        <v/>
      </c>
    </row>
    <row r="1147" ht="15" customHeight="1" s="163">
      <c r="A1147" s="319">
        <f>'E M MONSENHOR CIRILLO CALAON'!I14</f>
        <v/>
      </c>
      <c r="B1147" s="320">
        <f>'E M MONSENHOR CIRILLO CALAON'!D14</f>
        <v/>
      </c>
    </row>
    <row r="1148" ht="15" customHeight="1" s="163">
      <c r="A1148" s="319">
        <f>'E M MONSENHOR CIRILLO CALAON'!I15</f>
        <v/>
      </c>
      <c r="B1148" s="320">
        <f>'E M MONSENHOR CIRILLO CALAON'!D15</f>
        <v/>
      </c>
    </row>
    <row r="1149" ht="15" customHeight="1" s="163">
      <c r="A1149" s="319">
        <f>'E M MONSENHOR CIRILLO CALAON'!I16</f>
        <v/>
      </c>
      <c r="B1149" s="320">
        <f>'E M MONSENHOR CIRILLO CALAON'!D16</f>
        <v/>
      </c>
    </row>
    <row r="1150" ht="15" customHeight="1" s="163">
      <c r="A1150" s="319">
        <f>'E M MONSENHOR CIRILLO CALAON'!I17</f>
        <v/>
      </c>
      <c r="B1150" s="320">
        <f>'E M MONSENHOR CIRILLO CALAON'!D17</f>
        <v/>
      </c>
    </row>
    <row r="1151" ht="15" customHeight="1" s="163">
      <c r="A1151" s="319">
        <f>'E M MONSENHOR CIRILLO CALAON'!I18</f>
        <v/>
      </c>
      <c r="B1151" s="320">
        <f>'E M MONSENHOR CIRILLO CALAON'!D18</f>
        <v/>
      </c>
    </row>
    <row r="1152" ht="15" customHeight="1" s="163">
      <c r="A1152" s="319">
        <f>'E M MONSENHOR CIRILLO CALAON'!I19</f>
        <v/>
      </c>
      <c r="B1152" s="320">
        <f>'E M MONSENHOR CIRILLO CALAON'!D19</f>
        <v/>
      </c>
    </row>
    <row r="1153" ht="15" customHeight="1" s="163">
      <c r="A1153" s="319">
        <f>'E M MONSENHOR CIRILLO CALAON'!I20</f>
        <v/>
      </c>
      <c r="B1153" s="320">
        <f>'E M MONSENHOR CIRILLO CALAON'!D20</f>
        <v/>
      </c>
    </row>
    <row r="1154" ht="15" customHeight="1" s="163">
      <c r="A1154" s="319">
        <f>'E M MONSENHOR CIRILLO CALAON'!I21</f>
        <v/>
      </c>
      <c r="B1154" s="320">
        <f>'E M MONSENHOR CIRILLO CALAON'!D21</f>
        <v/>
      </c>
    </row>
    <row r="1155" ht="15" customHeight="1" s="163">
      <c r="A1155" s="319">
        <f>'E M MONSENHOR CIRILLO CALAON'!I22</f>
        <v/>
      </c>
      <c r="B1155" s="320">
        <f>'E M MONSENHOR CIRILLO CALAON'!D22</f>
        <v/>
      </c>
    </row>
    <row r="1156" ht="15" customHeight="1" s="163">
      <c r="A1156" s="319">
        <f>'E M MONSENHOR CIRILLO CALAON'!I23</f>
        <v/>
      </c>
      <c r="B1156" s="320">
        <f>'E M MONSENHOR CIRILLO CALAON'!D23</f>
        <v/>
      </c>
    </row>
    <row r="1157" ht="15" customHeight="1" s="163">
      <c r="A1157" s="319">
        <f>'E M MONSENHOR CIRILLO CALAON'!I24</f>
        <v/>
      </c>
      <c r="B1157" s="320">
        <f>'E M MONSENHOR CIRILLO CALAON'!D24</f>
        <v/>
      </c>
    </row>
    <row r="1158" ht="15" customHeight="1" s="163">
      <c r="A1158" s="319">
        <f>'E M MONSENHOR CIRILLO CALAON'!I25</f>
        <v/>
      </c>
      <c r="B1158" s="320">
        <f>'E M MONSENHOR CIRILLO CALAON'!D25</f>
        <v/>
      </c>
    </row>
    <row r="1159" ht="15" customHeight="1" s="163">
      <c r="A1159" s="319">
        <f>'E M MONSENHOR CIRILLO CALAON'!I26</f>
        <v/>
      </c>
      <c r="B1159" s="320">
        <f>'E M MONSENHOR CIRILLO CALAON'!D26</f>
        <v/>
      </c>
    </row>
    <row r="1160" ht="15" customHeight="1" s="163">
      <c r="A1160" s="319">
        <f>'E M MONSENHOR CIRILLO CALAON'!I27</f>
        <v/>
      </c>
      <c r="B1160" s="320">
        <f>'E M MONSENHOR CIRILLO CALAON'!D27</f>
        <v/>
      </c>
    </row>
    <row r="1161" ht="15" customHeight="1" s="163">
      <c r="A1161" s="319">
        <f>'E M AMÉRICO FERNANDES RIBEIRO'!I9</f>
        <v/>
      </c>
      <c r="B1161" s="320">
        <f>'E M AMÉRICO FERNANDES RIBEIRO'!D9</f>
        <v/>
      </c>
    </row>
    <row r="1162" ht="15" customHeight="1" s="163">
      <c r="A1162" s="319">
        <f>'E M AMÉRICO FERNANDES RIBEIRO'!I10</f>
        <v/>
      </c>
      <c r="B1162" s="320">
        <f>'E M AMÉRICO FERNANDES RIBEIRO'!D10</f>
        <v/>
      </c>
    </row>
    <row r="1163" ht="15" customHeight="1" s="163">
      <c r="A1163" s="319">
        <f>'E M AMÉRICO FERNANDES RIBEIRO'!I11</f>
        <v/>
      </c>
      <c r="B1163" s="320">
        <f>'E M AMÉRICO FERNANDES RIBEIRO'!D11</f>
        <v/>
      </c>
    </row>
    <row r="1164" ht="15" customHeight="1" s="163">
      <c r="A1164" s="319">
        <f>'E M AMÉRICO FERNANDES RIBEIRO'!I12</f>
        <v/>
      </c>
      <c r="B1164" s="320">
        <f>'E M AMÉRICO FERNANDES RIBEIRO'!D12</f>
        <v/>
      </c>
    </row>
    <row r="1165" ht="15" customHeight="1" s="163">
      <c r="A1165" s="319">
        <f>'E M AMÉRICO FERNANDES RIBEIRO'!I13</f>
        <v/>
      </c>
      <c r="B1165" s="320">
        <f>'E M AMÉRICO FERNANDES RIBEIRO'!D13</f>
        <v/>
      </c>
    </row>
    <row r="1166" ht="15" customHeight="1" s="163">
      <c r="A1166" s="319">
        <f>'E M AMÉRICO FERNANDES RIBEIRO'!I14</f>
        <v/>
      </c>
      <c r="B1166" s="320">
        <f>'E M AMÉRICO FERNANDES RIBEIRO'!D14</f>
        <v/>
      </c>
    </row>
    <row r="1167" ht="15" customHeight="1" s="163">
      <c r="A1167" s="319">
        <f>'E M AMÉRICO FERNANDES RIBEIRO'!I15</f>
        <v/>
      </c>
      <c r="B1167" s="320">
        <f>'E M AMÉRICO FERNANDES RIBEIRO'!D15</f>
        <v/>
      </c>
    </row>
    <row r="1168" ht="15" customHeight="1" s="163">
      <c r="A1168" s="319">
        <f>'E M AMÉRICO FERNANDES RIBEIRO'!I16</f>
        <v/>
      </c>
      <c r="B1168" s="320">
        <f>'E M AMÉRICO FERNANDES RIBEIRO'!D16</f>
        <v/>
      </c>
    </row>
    <row r="1169" ht="15" customHeight="1" s="163">
      <c r="A1169" s="319">
        <f>'E M AMÉRICO FERNANDES RIBEIRO'!I17</f>
        <v/>
      </c>
      <c r="B1169" s="320">
        <f>'E M AMÉRICO FERNANDES RIBEIRO'!D17</f>
        <v/>
      </c>
    </row>
    <row r="1170" ht="15" customHeight="1" s="163">
      <c r="A1170" s="319">
        <f>'E M AMÉRICO FERNANDES RIBEIRO'!I18</f>
        <v/>
      </c>
      <c r="B1170" s="320">
        <f>'E M AMÉRICO FERNANDES RIBEIRO'!D18</f>
        <v/>
      </c>
    </row>
    <row r="1171" ht="15" customHeight="1" s="163">
      <c r="A1171" s="319">
        <f>'E M AMÉRICO FERNANDES RIBEIRO'!I19</f>
        <v/>
      </c>
      <c r="B1171" s="320">
        <f>'E M AMÉRICO FERNANDES RIBEIRO'!D19</f>
        <v/>
      </c>
    </row>
    <row r="1172" ht="15" customHeight="1" s="163">
      <c r="A1172" s="319">
        <f>'E M AMÉRICO FERNANDES RIBEIRO'!I20</f>
        <v/>
      </c>
      <c r="B1172" s="320">
        <f>'E M AMÉRICO FERNANDES RIBEIRO'!D20</f>
        <v/>
      </c>
    </row>
    <row r="1173" ht="15" customHeight="1" s="163">
      <c r="A1173" s="319">
        <f>'E M AMÉRICO FERNANDES RIBEIRO'!I21</f>
        <v/>
      </c>
      <c r="B1173" s="320">
        <f>'E M AMÉRICO FERNANDES RIBEIRO'!D21</f>
        <v/>
      </c>
    </row>
    <row r="1174" ht="15" customHeight="1" s="163">
      <c r="A1174" s="319">
        <f>'E M AMÉRICO FERNANDES RIBEIRO'!I22</f>
        <v/>
      </c>
      <c r="B1174" s="320">
        <f>'E M AMÉRICO FERNANDES RIBEIRO'!D22</f>
        <v/>
      </c>
    </row>
    <row r="1175" ht="15" customHeight="1" s="163">
      <c r="A1175" s="319">
        <f>'E M AMÉRICO FERNANDES RIBEIRO'!I23</f>
        <v/>
      </c>
      <c r="B1175" s="320">
        <f>'E M AMÉRICO FERNANDES RIBEIRO'!D23</f>
        <v/>
      </c>
    </row>
    <row r="1176" ht="15" customHeight="1" s="163">
      <c r="A1176" s="319">
        <f>'E M AMÉRICO FERNANDES RIBEIRO'!I24</f>
        <v/>
      </c>
      <c r="B1176" s="320">
        <f>'E M AMÉRICO FERNANDES RIBEIRO'!D24</f>
        <v/>
      </c>
    </row>
    <row r="1177" ht="15" customHeight="1" s="163">
      <c r="A1177" s="319">
        <f>'E M AMÉRICO FERNANDES RIBEIRO'!I25</f>
        <v/>
      </c>
      <c r="B1177" s="320">
        <f>'E M AMÉRICO FERNANDES RIBEIRO'!D25</f>
        <v/>
      </c>
    </row>
    <row r="1178" ht="15" customHeight="1" s="163">
      <c r="A1178" s="319">
        <f>'E M AMÉRICO FERNANDES RIBEIRO'!I26</f>
        <v/>
      </c>
      <c r="B1178" s="320">
        <f>'E M AMÉRICO FERNANDES RIBEIRO'!D26</f>
        <v/>
      </c>
    </row>
    <row r="1179" ht="15" customHeight="1" s="163">
      <c r="A1179" s="319">
        <f>'E M AMÉRICO FERNANDES RIBEIRO'!I27</f>
        <v/>
      </c>
      <c r="B1179" s="320">
        <f>'E M AMÉRICO FERNANDES RIBEIRO'!D27</f>
        <v/>
      </c>
    </row>
    <row r="1180" ht="15" customHeight="1" s="163">
      <c r="A1180" s="319">
        <f>'E M PROFª JANDIRA PEIXOTO BORDI'!I9</f>
        <v/>
      </c>
      <c r="B1180" s="320">
        <f>'E M PROFª JANDIRA PEIXOTO BORDI'!D9</f>
        <v/>
      </c>
    </row>
    <row r="1181" ht="15" customHeight="1" s="163">
      <c r="A1181" s="319">
        <f>'E M PROFª JANDIRA PEIXOTO BORDI'!I10</f>
        <v/>
      </c>
      <c r="B1181" s="320">
        <f>'E M PROFª JANDIRA PEIXOTO BORDI'!D10</f>
        <v/>
      </c>
    </row>
    <row r="1182" ht="15" customHeight="1" s="163">
      <c r="A1182" s="319">
        <f>'E M PROFª JANDIRA PEIXOTO BORDI'!I11</f>
        <v/>
      </c>
      <c r="B1182" s="320">
        <f>'E M PROFª JANDIRA PEIXOTO BORDI'!D11</f>
        <v/>
      </c>
    </row>
    <row r="1183" ht="15" customHeight="1" s="163">
      <c r="A1183" s="319">
        <f>'E M PROFª JANDIRA PEIXOTO BORDI'!I12</f>
        <v/>
      </c>
      <c r="B1183" s="320">
        <f>'E M PROFª JANDIRA PEIXOTO BORDI'!D12</f>
        <v/>
      </c>
    </row>
    <row r="1184" ht="15" customHeight="1" s="163">
      <c r="A1184" s="319">
        <f>'E M PROFª JANDIRA PEIXOTO BORDI'!I13</f>
        <v/>
      </c>
      <c r="B1184" s="320">
        <f>'E M PROFª JANDIRA PEIXOTO BORDI'!D13</f>
        <v/>
      </c>
    </row>
    <row r="1185" ht="15" customHeight="1" s="163">
      <c r="A1185" s="319">
        <f>'E M PROFª JANDIRA PEIXOTO BORDI'!I14</f>
        <v/>
      </c>
      <c r="B1185" s="320">
        <f>'E M PROFª JANDIRA PEIXOTO BORDI'!D14</f>
        <v/>
      </c>
    </row>
    <row r="1186" ht="15" customHeight="1" s="163">
      <c r="A1186" s="319">
        <f>'E M PROFª JANDIRA PEIXOTO BORDI'!I15</f>
        <v/>
      </c>
      <c r="B1186" s="320">
        <f>'E M PROFª JANDIRA PEIXOTO BORDI'!D15</f>
        <v/>
      </c>
    </row>
    <row r="1187" ht="15" customHeight="1" s="163">
      <c r="A1187" s="319">
        <f>'E M PROFª JANDIRA PEIXOTO BORDI'!I16</f>
        <v/>
      </c>
      <c r="B1187" s="320">
        <f>'E M PROFª JANDIRA PEIXOTO BORDI'!D16</f>
        <v/>
      </c>
    </row>
    <row r="1188" ht="15" customHeight="1" s="163">
      <c r="A1188" s="319">
        <f>'E M PROFª JANDIRA PEIXOTO BORDI'!I17</f>
        <v/>
      </c>
      <c r="B1188" s="320">
        <f>'E M PROFª JANDIRA PEIXOTO BORDI'!D17</f>
        <v/>
      </c>
    </row>
    <row r="1189" ht="15" customHeight="1" s="163">
      <c r="A1189" s="319">
        <f>'E M PROFª JANDIRA PEIXOTO BORDI'!I18</f>
        <v/>
      </c>
      <c r="B1189" s="320">
        <f>'E M PROFª JANDIRA PEIXOTO BORDI'!D18</f>
        <v/>
      </c>
    </row>
    <row r="1190" ht="15" customHeight="1" s="163">
      <c r="A1190" s="319">
        <f>'E M PROFª JANDIRA PEIXOTO BORDI'!I19</f>
        <v/>
      </c>
      <c r="B1190" s="320">
        <f>'E M PROFª JANDIRA PEIXOTO BORDI'!D19</f>
        <v/>
      </c>
    </row>
    <row r="1191" ht="15" customHeight="1" s="163">
      <c r="A1191" s="319">
        <f>'E M PROFª JANDIRA PEIXOTO BORDI'!I20</f>
        <v/>
      </c>
      <c r="B1191" s="320">
        <f>'E M PROFª JANDIRA PEIXOTO BORDI'!D20</f>
        <v/>
      </c>
    </row>
    <row r="1192" ht="15" customHeight="1" s="163">
      <c r="A1192" s="319">
        <f>'E M PROFª JANDIRA PEIXOTO BORDI'!I21</f>
        <v/>
      </c>
      <c r="B1192" s="320">
        <f>'E M PROFª JANDIRA PEIXOTO BORDI'!D21</f>
        <v/>
      </c>
    </row>
    <row r="1193" ht="15" customHeight="1" s="163">
      <c r="A1193" s="319">
        <f>'E M PROFª JANDIRA PEIXOTO BORDI'!I22</f>
        <v/>
      </c>
      <c r="B1193" s="320">
        <f>'E M PROFª JANDIRA PEIXOTO BORDI'!D22</f>
        <v/>
      </c>
    </row>
    <row r="1194" ht="15" customHeight="1" s="163">
      <c r="A1194" s="319">
        <f>'E M PROFª JANDIRA PEIXOTO BORDI'!I23</f>
        <v/>
      </c>
      <c r="B1194" s="320">
        <f>'E M PROFª JANDIRA PEIXOTO BORDI'!D23</f>
        <v/>
      </c>
    </row>
    <row r="1195" ht="15" customHeight="1" s="163">
      <c r="A1195" s="319">
        <f>'E M PROFª JANDIRA PEIXOTO BORDI'!I24</f>
        <v/>
      </c>
      <c r="B1195" s="320">
        <f>'E M PROFª JANDIRA PEIXOTO BORDI'!D24</f>
        <v/>
      </c>
    </row>
    <row r="1196" ht="15" customHeight="1" s="163">
      <c r="A1196" s="319">
        <f>'E M PROFª JANDIRA PEIXOTO BORDI'!I25</f>
        <v/>
      </c>
      <c r="B1196" s="320">
        <f>'E M PROFª JANDIRA PEIXOTO BORDI'!D25</f>
        <v/>
      </c>
    </row>
    <row r="1197" ht="15" customHeight="1" s="163">
      <c r="A1197" s="319">
        <f>'E M PROFª JANDIRA PEIXOTO BORDI'!I26</f>
        <v/>
      </c>
      <c r="B1197" s="320">
        <f>'E M PROFª JANDIRA PEIXOTO BORDI'!D26</f>
        <v/>
      </c>
    </row>
    <row r="1198" ht="15" customHeight="1" s="163">
      <c r="A1198" s="319">
        <f>'E M PROFª JANDIRA PEIXOTO BORDI'!I27</f>
        <v/>
      </c>
      <c r="B1198" s="320">
        <f>'E M PROFª JANDIRA PEIXOTO BORDI'!D27</f>
        <v/>
      </c>
    </row>
    <row r="1199" ht="15" customHeight="1" s="163">
      <c r="A1199" s="319">
        <f>'E M MONSENHOR JOÃO DE DEUS RODR'!I9</f>
        <v/>
      </c>
      <c r="B1199" s="320">
        <f>'E M MONSENHOR JOÃO DE DEUS RODR'!D9</f>
        <v/>
      </c>
    </row>
    <row r="1200" ht="15" customHeight="1" s="163">
      <c r="A1200" s="319">
        <f>'E M MONSENHOR JOÃO DE DEUS RODR'!I10</f>
        <v/>
      </c>
      <c r="B1200" s="320">
        <f>'E M MONSENHOR JOÃO DE DEUS RODR'!D10</f>
        <v/>
      </c>
    </row>
    <row r="1201" ht="15" customHeight="1" s="163">
      <c r="A1201" s="319">
        <f>'E M MONSENHOR JOÃO DE DEUS RODR'!I11</f>
        <v/>
      </c>
      <c r="B1201" s="320">
        <f>'E M MONSENHOR JOÃO DE DEUS RODR'!D11</f>
        <v/>
      </c>
    </row>
    <row r="1202" ht="15" customHeight="1" s="163">
      <c r="A1202" s="319">
        <f>'E M MONSENHOR JOÃO DE DEUS RODR'!I12</f>
        <v/>
      </c>
      <c r="B1202" s="320">
        <f>'E M MONSENHOR JOÃO DE DEUS RODR'!D12</f>
        <v/>
      </c>
    </row>
    <row r="1203" ht="15" customHeight="1" s="163">
      <c r="A1203" s="319">
        <f>'E M MONSENHOR JOÃO DE DEUS RODR'!I13</f>
        <v/>
      </c>
      <c r="B1203" s="320">
        <f>'E M MONSENHOR JOÃO DE DEUS RODR'!D13</f>
        <v/>
      </c>
    </row>
    <row r="1204" ht="15" customHeight="1" s="163">
      <c r="A1204" s="319">
        <f>'E M MONSENHOR JOÃO DE DEUS RODR'!I14</f>
        <v/>
      </c>
      <c r="B1204" s="320">
        <f>'E M MONSENHOR JOÃO DE DEUS RODR'!D14</f>
        <v/>
      </c>
    </row>
    <row r="1205" ht="15" customHeight="1" s="163">
      <c r="A1205" s="319">
        <f>'E M MONSENHOR JOÃO DE DEUS RODR'!I15</f>
        <v/>
      </c>
      <c r="B1205" s="320">
        <f>'E M MONSENHOR JOÃO DE DEUS RODR'!D15</f>
        <v/>
      </c>
    </row>
    <row r="1206" ht="15" customHeight="1" s="163">
      <c r="A1206" s="319">
        <f>'E M MONSENHOR JOÃO DE DEUS RODR'!I16</f>
        <v/>
      </c>
      <c r="B1206" s="320">
        <f>'E M MONSENHOR JOÃO DE DEUS RODR'!D16</f>
        <v/>
      </c>
    </row>
    <row r="1207" ht="15" customHeight="1" s="163">
      <c r="A1207" s="319">
        <f>'E M MONSENHOR JOÃO DE DEUS RODR'!I17</f>
        <v/>
      </c>
      <c r="B1207" s="320">
        <f>'E M MONSENHOR JOÃO DE DEUS RODR'!D17</f>
        <v/>
      </c>
    </row>
    <row r="1208" ht="15" customHeight="1" s="163">
      <c r="A1208" s="319">
        <f>'E M MONSENHOR JOÃO DE DEUS RODR'!I18</f>
        <v/>
      </c>
      <c r="B1208" s="320">
        <f>'E M MONSENHOR JOÃO DE DEUS RODR'!D18</f>
        <v/>
      </c>
    </row>
    <row r="1209" ht="15" customHeight="1" s="163">
      <c r="A1209" s="319">
        <f>'E M MONSENHOR JOÃO DE DEUS RODR'!I19</f>
        <v/>
      </c>
      <c r="B1209" s="320">
        <f>'E M MONSENHOR JOÃO DE DEUS RODR'!D19</f>
        <v/>
      </c>
    </row>
    <row r="1210" ht="15" customHeight="1" s="163">
      <c r="A1210" s="319">
        <f>'E M MONSENHOR JOÃO DE DEUS RODR'!I20</f>
        <v/>
      </c>
      <c r="B1210" s="320">
        <f>'E M MONSENHOR JOÃO DE DEUS RODR'!D20</f>
        <v/>
      </c>
    </row>
    <row r="1211" ht="15" customHeight="1" s="163">
      <c r="A1211" s="319">
        <f>'E M MONSENHOR JOÃO DE DEUS RODR'!I21</f>
        <v/>
      </c>
      <c r="B1211" s="320">
        <f>'E M MONSENHOR JOÃO DE DEUS RODR'!D21</f>
        <v/>
      </c>
    </row>
    <row r="1212" ht="15" customHeight="1" s="163">
      <c r="A1212" s="319">
        <f>'E M MONSENHOR JOÃO DE DEUS RODR'!I22</f>
        <v/>
      </c>
      <c r="B1212" s="320">
        <f>'E M MONSENHOR JOÃO DE DEUS RODR'!D22</f>
        <v/>
      </c>
    </row>
    <row r="1213" ht="15" customHeight="1" s="163">
      <c r="A1213" s="319">
        <f>'E M MONSENHOR JOÃO DE DEUS RODR'!I23</f>
        <v/>
      </c>
      <c r="B1213" s="320">
        <f>'E M MONSENHOR JOÃO DE DEUS RODR'!D23</f>
        <v/>
      </c>
    </row>
    <row r="1214" ht="15" customHeight="1" s="163">
      <c r="A1214" s="319">
        <f>'E M MONSENHOR JOÃO DE DEUS RODR'!I24</f>
        <v/>
      </c>
      <c r="B1214" s="320">
        <f>'E M MONSENHOR JOÃO DE DEUS RODR'!D24</f>
        <v/>
      </c>
    </row>
    <row r="1215" ht="15" customHeight="1" s="163">
      <c r="A1215" s="319">
        <f>'E M MONSENHOR JOÃO DE DEUS RODR'!I25</f>
        <v/>
      </c>
      <c r="B1215" s="320">
        <f>'E M MONSENHOR JOÃO DE DEUS RODR'!D25</f>
        <v/>
      </c>
    </row>
    <row r="1216" ht="15" customHeight="1" s="163">
      <c r="A1216" s="319">
        <f>'E M MONSENHOR JOÃO DE DEUS RODR'!I26</f>
        <v/>
      </c>
      <c r="B1216" s="320">
        <f>'E M MONSENHOR JOÃO DE DEUS RODR'!D26</f>
        <v/>
      </c>
    </row>
    <row r="1217" ht="15" customHeight="1" s="163">
      <c r="A1217" s="319">
        <f>'E M MONSENHOR JOÃO DE DEUS RODR'!I27</f>
        <v/>
      </c>
      <c r="B1217" s="320">
        <f>'E M MONSENHOR JOÃO DE DEUS RODR'!D27</f>
        <v/>
      </c>
    </row>
    <row r="1218" ht="15" customHeight="1" s="163">
      <c r="A1218" s="319">
        <f>'E M DOM MANOEL PEDRO DA CUNHA C'!I9</f>
        <v/>
      </c>
      <c r="B1218" s="320">
        <f>'E M DOM MANOEL PEDRO DA CUNHA C'!D9</f>
        <v/>
      </c>
    </row>
    <row r="1219" ht="15" customHeight="1" s="163">
      <c r="A1219" s="319">
        <f>'E M DOM MANOEL PEDRO DA CUNHA C'!I10</f>
        <v/>
      </c>
      <c r="B1219" s="320">
        <f>'E M DOM MANOEL PEDRO DA CUNHA C'!D10</f>
        <v/>
      </c>
    </row>
    <row r="1220" ht="15" customHeight="1" s="163">
      <c r="A1220" s="319">
        <f>'E M DOM MANOEL PEDRO DA CUNHA C'!I11</f>
        <v/>
      </c>
      <c r="B1220" s="320">
        <f>'E M DOM MANOEL PEDRO DA CUNHA C'!D11</f>
        <v/>
      </c>
    </row>
    <row r="1221" ht="15" customHeight="1" s="163">
      <c r="A1221" s="319">
        <f>'E M DOM MANOEL PEDRO DA CUNHA C'!I12</f>
        <v/>
      </c>
      <c r="B1221" s="320">
        <f>'E M DOM MANOEL PEDRO DA CUNHA C'!D12</f>
        <v/>
      </c>
    </row>
    <row r="1222" ht="15" customHeight="1" s="163">
      <c r="A1222" s="319">
        <f>'E M DOM MANOEL PEDRO DA CUNHA C'!I13</f>
        <v/>
      </c>
      <c r="B1222" s="320">
        <f>'E M DOM MANOEL PEDRO DA CUNHA C'!D13</f>
        <v/>
      </c>
    </row>
    <row r="1223" ht="15" customHeight="1" s="163">
      <c r="A1223" s="319">
        <f>'E M DOM MANOEL PEDRO DA CUNHA C'!I14</f>
        <v/>
      </c>
      <c r="B1223" s="320">
        <f>'E M DOM MANOEL PEDRO DA CUNHA C'!D14</f>
        <v/>
      </c>
    </row>
    <row r="1224" ht="15" customHeight="1" s="163">
      <c r="A1224" s="319">
        <f>'E M DOM MANOEL PEDRO DA CUNHA C'!I15</f>
        <v/>
      </c>
      <c r="B1224" s="320">
        <f>'E M DOM MANOEL PEDRO DA CUNHA C'!D15</f>
        <v/>
      </c>
    </row>
    <row r="1225" ht="15" customHeight="1" s="163">
      <c r="A1225" s="319">
        <f>'E M DOM MANOEL PEDRO DA CUNHA C'!I16</f>
        <v/>
      </c>
      <c r="B1225" s="320">
        <f>'E M DOM MANOEL PEDRO DA CUNHA C'!D16</f>
        <v/>
      </c>
    </row>
    <row r="1226" ht="15" customHeight="1" s="163">
      <c r="A1226" s="319">
        <f>'E M DOM MANOEL PEDRO DA CUNHA C'!I17</f>
        <v/>
      </c>
      <c r="B1226" s="320">
        <f>'E M DOM MANOEL PEDRO DA CUNHA C'!D17</f>
        <v/>
      </c>
    </row>
    <row r="1227" ht="15" customHeight="1" s="163">
      <c r="A1227" s="319">
        <f>'E M DOM MANOEL PEDRO DA CUNHA C'!I18</f>
        <v/>
      </c>
      <c r="B1227" s="320">
        <f>'E M DOM MANOEL PEDRO DA CUNHA C'!D18</f>
        <v/>
      </c>
    </row>
    <row r="1228" ht="15" customHeight="1" s="163">
      <c r="A1228" s="319">
        <f>'E M DOM MANOEL PEDRO DA CUNHA C'!I19</f>
        <v/>
      </c>
      <c r="B1228" s="320">
        <f>'E M DOM MANOEL PEDRO DA CUNHA C'!D19</f>
        <v/>
      </c>
    </row>
    <row r="1229" ht="15" customHeight="1" s="163">
      <c r="A1229" s="319">
        <f>'E M DOM MANOEL PEDRO DA CUNHA C'!I20</f>
        <v/>
      </c>
      <c r="B1229" s="320">
        <f>'E M DOM MANOEL PEDRO DA CUNHA C'!D20</f>
        <v/>
      </c>
    </row>
    <row r="1230" ht="15" customHeight="1" s="163">
      <c r="A1230" s="319">
        <f>'E M DOM MANOEL PEDRO DA CUNHA C'!I21</f>
        <v/>
      </c>
      <c r="B1230" s="320">
        <f>'E M DOM MANOEL PEDRO DA CUNHA C'!D21</f>
        <v/>
      </c>
    </row>
    <row r="1231" ht="15" customHeight="1" s="163">
      <c r="A1231" s="319">
        <f>'E M DOM MANOEL PEDRO DA CUNHA C'!I22</f>
        <v/>
      </c>
      <c r="B1231" s="320">
        <f>'E M DOM MANOEL PEDRO DA CUNHA C'!D22</f>
        <v/>
      </c>
    </row>
    <row r="1232" ht="15" customHeight="1" s="163">
      <c r="A1232" s="319">
        <f>'E M DOM MANOEL PEDRO DA CUNHA C'!I23</f>
        <v/>
      </c>
      <c r="B1232" s="320">
        <f>'E M DOM MANOEL PEDRO DA CUNHA C'!D23</f>
        <v/>
      </c>
    </row>
    <row r="1233" ht="15" customHeight="1" s="163">
      <c r="A1233" s="319">
        <f>'E M DOM MANOEL PEDRO DA CUNHA C'!I24</f>
        <v/>
      </c>
      <c r="B1233" s="320">
        <f>'E M DOM MANOEL PEDRO DA CUNHA C'!D24</f>
        <v/>
      </c>
    </row>
    <row r="1234" ht="15" customHeight="1" s="163">
      <c r="A1234" s="319">
        <f>'E M DOM MANOEL PEDRO DA CUNHA C'!I25</f>
        <v/>
      </c>
      <c r="B1234" s="320">
        <f>'E M DOM MANOEL PEDRO DA CUNHA C'!D25</f>
        <v/>
      </c>
    </row>
    <row r="1235" ht="15" customHeight="1" s="163">
      <c r="A1235" s="319">
        <f>'E M DOM MANOEL PEDRO DA CUNHA C'!I26</f>
        <v/>
      </c>
      <c r="B1235" s="320">
        <f>'E M DOM MANOEL PEDRO DA CUNHA C'!D26</f>
        <v/>
      </c>
    </row>
    <row r="1236" ht="15" customHeight="1" s="163">
      <c r="A1236" s="319">
        <f>'E M DOM MANOEL PEDRO DA CUNHA C'!I27</f>
        <v/>
      </c>
      <c r="B1236" s="320">
        <f>'E M DOM MANOEL PEDRO DA CUNHA C'!D27</f>
        <v/>
      </c>
    </row>
    <row r="1237" ht="15" customHeight="1" s="163">
      <c r="A1237" s="319">
        <f>'E M JOHANN NOEL'!I9</f>
        <v/>
      </c>
      <c r="B1237" s="320">
        <f>'E M JOHANN NOEL'!D9</f>
        <v/>
      </c>
    </row>
    <row r="1238" ht="15" customHeight="1" s="163">
      <c r="A1238" s="319">
        <f>'E M JOHANN NOEL'!I10</f>
        <v/>
      </c>
      <c r="B1238" s="320">
        <f>'E M JOHANN NOEL'!D10</f>
        <v/>
      </c>
    </row>
    <row r="1239" ht="15" customHeight="1" s="163">
      <c r="A1239" s="319">
        <f>'E M JOHANN NOEL'!I11</f>
        <v/>
      </c>
      <c r="B1239" s="320">
        <f>'E M JOHANN NOEL'!D11</f>
        <v/>
      </c>
    </row>
    <row r="1240" ht="15" customHeight="1" s="163">
      <c r="A1240" s="319">
        <f>'E M JOHANN NOEL'!I12</f>
        <v/>
      </c>
      <c r="B1240" s="320">
        <f>'E M JOHANN NOEL'!D12</f>
        <v/>
      </c>
    </row>
    <row r="1241" ht="15" customHeight="1" s="163">
      <c r="A1241" s="319">
        <f>'E M JOHANN NOEL'!I13</f>
        <v/>
      </c>
      <c r="B1241" s="320">
        <f>'E M JOHANN NOEL'!D13</f>
        <v/>
      </c>
    </row>
    <row r="1242" ht="15" customHeight="1" s="163">
      <c r="A1242" s="319">
        <f>'E M JOHANN NOEL'!I14</f>
        <v/>
      </c>
      <c r="B1242" s="320">
        <f>'E M JOHANN NOEL'!D14</f>
        <v/>
      </c>
    </row>
    <row r="1243" ht="15" customHeight="1" s="163">
      <c r="A1243" s="319">
        <f>'E M JOHANN NOEL'!I15</f>
        <v/>
      </c>
      <c r="B1243" s="320">
        <f>'E M JOHANN NOEL'!D15</f>
        <v/>
      </c>
    </row>
    <row r="1244" ht="15" customHeight="1" s="163">
      <c r="A1244" s="319">
        <f>'E M JOHANN NOEL'!I16</f>
        <v/>
      </c>
      <c r="B1244" s="320">
        <f>'E M JOHANN NOEL'!D16</f>
        <v/>
      </c>
    </row>
    <row r="1245" ht="15" customHeight="1" s="163">
      <c r="A1245" s="319">
        <f>'E M JOHANN NOEL'!I17</f>
        <v/>
      </c>
      <c r="B1245" s="320">
        <f>'E M JOHANN NOEL'!D17</f>
        <v/>
      </c>
    </row>
    <row r="1246" ht="15" customHeight="1" s="163">
      <c r="A1246" s="319">
        <f>'E M JOHANN NOEL'!I18</f>
        <v/>
      </c>
      <c r="B1246" s="320">
        <f>'E M JOHANN NOEL'!D18</f>
        <v/>
      </c>
    </row>
    <row r="1247" ht="15" customHeight="1" s="163">
      <c r="A1247" s="319">
        <f>'E M JOHANN NOEL'!I19</f>
        <v/>
      </c>
      <c r="B1247" s="320">
        <f>'E M JOHANN NOEL'!D19</f>
        <v/>
      </c>
    </row>
    <row r="1248" ht="15" customHeight="1" s="163">
      <c r="A1248" s="319">
        <f>'E M JOHANN NOEL'!I20</f>
        <v/>
      </c>
      <c r="B1248" s="320">
        <f>'E M JOHANN NOEL'!D20</f>
        <v/>
      </c>
    </row>
    <row r="1249" ht="15" customHeight="1" s="163">
      <c r="A1249" s="319">
        <f>'E M JOHANN NOEL'!I21</f>
        <v/>
      </c>
      <c r="B1249" s="320">
        <f>'E M JOHANN NOEL'!D21</f>
        <v/>
      </c>
    </row>
    <row r="1250" ht="15" customHeight="1" s="163">
      <c r="A1250" s="319">
        <f>'E M JOHANN NOEL'!I22</f>
        <v/>
      </c>
      <c r="B1250" s="320">
        <f>'E M JOHANN NOEL'!D22</f>
        <v/>
      </c>
    </row>
    <row r="1251" ht="15" customHeight="1" s="163">
      <c r="A1251" s="319">
        <f>'E M JOHANN NOEL'!I23</f>
        <v/>
      </c>
      <c r="B1251" s="320">
        <f>'E M JOHANN NOEL'!D23</f>
        <v/>
      </c>
    </row>
    <row r="1252" ht="15" customHeight="1" s="163">
      <c r="A1252" s="319">
        <f>'E M JOHANN NOEL'!I24</f>
        <v/>
      </c>
      <c r="B1252" s="320">
        <f>'E M JOHANN NOEL'!D24</f>
        <v/>
      </c>
    </row>
    <row r="1253" ht="15" customHeight="1" s="163">
      <c r="A1253" s="319">
        <f>'E M JOHANN NOEL'!I25</f>
        <v/>
      </c>
      <c r="B1253" s="320">
        <f>'E M JOHANN NOEL'!D25</f>
        <v/>
      </c>
    </row>
    <row r="1254" ht="15" customHeight="1" s="163">
      <c r="A1254" s="319">
        <f>'E M JOHANN NOEL'!I26</f>
        <v/>
      </c>
      <c r="B1254" s="320">
        <f>'E M JOHANN NOEL'!D26</f>
        <v/>
      </c>
    </row>
    <row r="1255" ht="15" customHeight="1" s="163">
      <c r="A1255" s="319">
        <f>'E M JOHANN NOEL'!I27</f>
        <v/>
      </c>
      <c r="B1255" s="320">
        <f>'E M JOHANN NOEL'!D27</f>
        <v/>
      </c>
    </row>
    <row r="1256" ht="15" customHeight="1" s="163">
      <c r="A1256" s="319">
        <f>'E MZDA SANTA TEREZINHA'!I9</f>
        <v/>
      </c>
      <c r="B1256" s="320">
        <f>'E MZDA SANTA TEREZINHA'!D9</f>
        <v/>
      </c>
    </row>
    <row r="1257" ht="15" customHeight="1" s="163">
      <c r="A1257" s="319">
        <f>'E MZDA SANTA TEREZINHA'!I10</f>
        <v/>
      </c>
      <c r="B1257" s="320">
        <f>'E MZDA SANTA TEREZINHA'!D10</f>
        <v/>
      </c>
    </row>
    <row r="1258" ht="15" customHeight="1" s="163">
      <c r="A1258" s="319">
        <f>'E MZDA SANTA TEREZINHA'!I11</f>
        <v/>
      </c>
      <c r="B1258" s="320">
        <f>'E MZDA SANTA TEREZINHA'!D11</f>
        <v/>
      </c>
    </row>
    <row r="1259" ht="15" customHeight="1" s="163">
      <c r="A1259" s="319">
        <f>'E MZDA SANTA TEREZINHA'!I12</f>
        <v/>
      </c>
      <c r="B1259" s="320">
        <f>'E MZDA SANTA TEREZINHA'!D12</f>
        <v/>
      </c>
    </row>
    <row r="1260" ht="15" customHeight="1" s="163">
      <c r="A1260" s="319">
        <f>'E MZDA SANTA TEREZINHA'!I13</f>
        <v/>
      </c>
      <c r="B1260" s="320">
        <f>'E MZDA SANTA TEREZINHA'!D13</f>
        <v/>
      </c>
    </row>
    <row r="1261" ht="15" customHeight="1" s="163">
      <c r="A1261" s="319">
        <f>'E MZDA SANTA TEREZINHA'!I14</f>
        <v/>
      </c>
      <c r="B1261" s="320">
        <f>'E MZDA SANTA TEREZINHA'!D14</f>
        <v/>
      </c>
    </row>
    <row r="1262" ht="15" customHeight="1" s="163">
      <c r="A1262" s="319">
        <f>'E MZDA SANTA TEREZINHA'!I15</f>
        <v/>
      </c>
      <c r="B1262" s="320">
        <f>'E MZDA SANTA TEREZINHA'!D15</f>
        <v/>
      </c>
    </row>
    <row r="1263" ht="15" customHeight="1" s="163">
      <c r="A1263" s="319">
        <f>'E MZDA SANTA TEREZINHA'!I16</f>
        <v/>
      </c>
      <c r="B1263" s="320">
        <f>'E MZDA SANTA TEREZINHA'!D16</f>
        <v/>
      </c>
    </row>
    <row r="1264" ht="15" customHeight="1" s="163">
      <c r="A1264" s="319">
        <f>'E MZDA SANTA TEREZINHA'!I17</f>
        <v/>
      </c>
      <c r="B1264" s="320">
        <f>'E MZDA SANTA TEREZINHA'!D17</f>
        <v/>
      </c>
    </row>
    <row r="1265" ht="15" customHeight="1" s="163">
      <c r="A1265" s="319">
        <f>'E MZDA SANTA TEREZINHA'!I18</f>
        <v/>
      </c>
      <c r="B1265" s="320">
        <f>'E MZDA SANTA TEREZINHA'!D18</f>
        <v/>
      </c>
    </row>
    <row r="1266" ht="15" customHeight="1" s="163">
      <c r="A1266" s="319">
        <f>'E MZDA SANTA TEREZINHA'!I19</f>
        <v/>
      </c>
      <c r="B1266" s="320">
        <f>'E MZDA SANTA TEREZINHA'!D19</f>
        <v/>
      </c>
    </row>
    <row r="1267" ht="15" customHeight="1" s="163">
      <c r="A1267" s="319">
        <f>'E MZDA SANTA TEREZINHA'!I20</f>
        <v/>
      </c>
      <c r="B1267" s="320">
        <f>'E MZDA SANTA TEREZINHA'!D20</f>
        <v/>
      </c>
    </row>
    <row r="1268" ht="15" customHeight="1" s="163">
      <c r="A1268" s="319">
        <f>'E MZDA SANTA TEREZINHA'!I21</f>
        <v/>
      </c>
      <c r="B1268" s="320">
        <f>'E MZDA SANTA TEREZINHA'!D21</f>
        <v/>
      </c>
    </row>
    <row r="1269" ht="15" customHeight="1" s="163">
      <c r="A1269" s="319">
        <f>'E MZDA SANTA TEREZINHA'!I22</f>
        <v/>
      </c>
      <c r="B1269" s="320">
        <f>'E MZDA SANTA TEREZINHA'!D22</f>
        <v/>
      </c>
    </row>
    <row r="1270" ht="15" customHeight="1" s="163">
      <c r="A1270" s="319">
        <f>'E MZDA SANTA TEREZINHA'!I23</f>
        <v/>
      </c>
      <c r="B1270" s="320">
        <f>'E MZDA SANTA TEREZINHA'!D23</f>
        <v/>
      </c>
    </row>
    <row r="1271" ht="15" customHeight="1" s="163">
      <c r="A1271" s="319">
        <f>'E MZDA SANTA TEREZINHA'!I24</f>
        <v/>
      </c>
      <c r="B1271" s="320">
        <f>'E MZDA SANTA TEREZINHA'!D24</f>
        <v/>
      </c>
    </row>
    <row r="1272" ht="15" customHeight="1" s="163">
      <c r="A1272" s="319">
        <f>'E MZDA SANTA TEREZINHA'!I25</f>
        <v/>
      </c>
      <c r="B1272" s="320">
        <f>'E MZDA SANTA TEREZINHA'!D25</f>
        <v/>
      </c>
    </row>
    <row r="1273" ht="15" customHeight="1" s="163">
      <c r="A1273" s="319">
        <f>'E MZDA SANTA TEREZINHA'!I26</f>
        <v/>
      </c>
      <c r="B1273" s="320">
        <f>'E MZDA SANTA TEREZINHA'!D26</f>
        <v/>
      </c>
    </row>
    <row r="1274" ht="15" customHeight="1" s="163">
      <c r="A1274" s="319">
        <f>'E MZDA SANTA TEREZINHA'!I27</f>
        <v/>
      </c>
      <c r="B1274" s="320">
        <f>'E MZDA SANTA TEREZINHA'!D27</f>
        <v/>
      </c>
    </row>
    <row r="1275" ht="15" customHeight="1" s="163">
      <c r="A1275" s="319">
        <f>'E M PAPA JOÃO PAULO II'!I9</f>
        <v/>
      </c>
      <c r="B1275" s="320">
        <f>'E M PAPA JOÃO PAULO II'!D9</f>
        <v/>
      </c>
    </row>
    <row r="1276" ht="15" customHeight="1" s="163">
      <c r="A1276" s="319">
        <f>'E M PAPA JOÃO PAULO II'!I10</f>
        <v/>
      </c>
      <c r="B1276" s="320">
        <f>'E M PAPA JOÃO PAULO II'!D10</f>
        <v/>
      </c>
    </row>
    <row r="1277" ht="15" customHeight="1" s="163">
      <c r="A1277" s="319">
        <f>'E M PAPA JOÃO PAULO II'!I11</f>
        <v/>
      </c>
      <c r="B1277" s="320">
        <f>'E M PAPA JOÃO PAULO II'!D11</f>
        <v/>
      </c>
    </row>
    <row r="1278" ht="15" customHeight="1" s="163">
      <c r="A1278" s="319">
        <f>'E M PAPA JOÃO PAULO II'!I12</f>
        <v/>
      </c>
      <c r="B1278" s="320">
        <f>'E M PAPA JOÃO PAULO II'!D12</f>
        <v/>
      </c>
    </row>
    <row r="1279" ht="15" customHeight="1" s="163">
      <c r="A1279" s="319">
        <f>'E M PAPA JOÃO PAULO II'!I13</f>
        <v/>
      </c>
      <c r="B1279" s="320">
        <f>'E M PAPA JOÃO PAULO II'!D13</f>
        <v/>
      </c>
    </row>
    <row r="1280" ht="15" customHeight="1" s="163">
      <c r="A1280" s="319">
        <f>'E M PAPA JOÃO PAULO II'!I14</f>
        <v/>
      </c>
      <c r="B1280" s="320">
        <f>'E M PAPA JOÃO PAULO II'!D14</f>
        <v/>
      </c>
    </row>
    <row r="1281" ht="15" customHeight="1" s="163">
      <c r="A1281" s="319">
        <f>'E M PAPA JOÃO PAULO II'!I15</f>
        <v/>
      </c>
      <c r="B1281" s="320">
        <f>'E M PAPA JOÃO PAULO II'!D15</f>
        <v/>
      </c>
    </row>
    <row r="1282" ht="15" customHeight="1" s="163">
      <c r="A1282" s="319">
        <f>'E M PAPA JOÃO PAULO II'!I16</f>
        <v/>
      </c>
      <c r="B1282" s="320">
        <f>'E M PAPA JOÃO PAULO II'!D16</f>
        <v/>
      </c>
    </row>
    <row r="1283" ht="15" customHeight="1" s="163">
      <c r="A1283" s="319">
        <f>'E M PAPA JOÃO PAULO II'!I17</f>
        <v/>
      </c>
      <c r="B1283" s="320">
        <f>'E M PAPA JOÃO PAULO II'!D17</f>
        <v/>
      </c>
    </row>
    <row r="1284" ht="15" customHeight="1" s="163">
      <c r="A1284" s="319">
        <f>'E M PAPA JOÃO PAULO II'!I18</f>
        <v/>
      </c>
      <c r="B1284" s="320">
        <f>'E M PAPA JOÃO PAULO II'!D18</f>
        <v/>
      </c>
    </row>
    <row r="1285" ht="15" customHeight="1" s="163">
      <c r="A1285" s="319">
        <f>'E M PAPA JOÃO PAULO II'!I19</f>
        <v/>
      </c>
      <c r="B1285" s="320">
        <f>'E M PAPA JOÃO PAULO II'!D19</f>
        <v/>
      </c>
    </row>
    <row r="1286" ht="15" customHeight="1" s="163">
      <c r="A1286" s="319">
        <f>'E M PAPA JOÃO PAULO II'!I20</f>
        <v/>
      </c>
      <c r="B1286" s="320">
        <f>'E M PAPA JOÃO PAULO II'!D20</f>
        <v/>
      </c>
    </row>
    <row r="1287" ht="15" customHeight="1" s="163">
      <c r="A1287" s="319">
        <f>'E M PAPA JOÃO PAULO II'!I21</f>
        <v/>
      </c>
      <c r="B1287" s="320">
        <f>'E M PAPA JOÃO PAULO II'!D21</f>
        <v/>
      </c>
    </row>
    <row r="1288" ht="15" customHeight="1" s="163">
      <c r="A1288" s="319">
        <f>'E M PAPA JOÃO PAULO II'!I22</f>
        <v/>
      </c>
      <c r="B1288" s="320">
        <f>'E M PAPA JOÃO PAULO II'!D22</f>
        <v/>
      </c>
    </row>
    <row r="1289" ht="15" customHeight="1" s="163">
      <c r="A1289" s="319">
        <f>'E M PAPA JOÃO PAULO II'!I23</f>
        <v/>
      </c>
      <c r="B1289" s="320">
        <f>'E M PAPA JOÃO PAULO II'!D23</f>
        <v/>
      </c>
    </row>
    <row r="1290" ht="15" customHeight="1" s="163">
      <c r="A1290" s="319">
        <f>'E M PAPA JOÃO PAULO II'!I24</f>
        <v/>
      </c>
      <c r="B1290" s="320">
        <f>'E M PAPA JOÃO PAULO II'!D24</f>
        <v/>
      </c>
    </row>
    <row r="1291" ht="15" customHeight="1" s="163">
      <c r="A1291" s="319">
        <f>'E M PAPA JOÃO PAULO II'!I25</f>
        <v/>
      </c>
      <c r="B1291" s="320">
        <f>'E M PAPA JOÃO PAULO II'!D25</f>
        <v/>
      </c>
    </row>
    <row r="1292" ht="15" customHeight="1" s="163">
      <c r="A1292" s="319">
        <f>'E M PAPA JOÃO PAULO II'!I26</f>
        <v/>
      </c>
      <c r="B1292" s="320">
        <f>'E M PAPA JOÃO PAULO II'!D26</f>
        <v/>
      </c>
    </row>
    <row r="1293" ht="15" customHeight="1" s="163">
      <c r="A1293" s="319">
        <f>'E M PAPA JOÃO PAULO II'!I27</f>
        <v/>
      </c>
      <c r="B1293" s="320">
        <f>'E M PAPA JOÃO PAULO II'!D27</f>
        <v/>
      </c>
    </row>
    <row r="1294" ht="15" customHeight="1" s="163">
      <c r="A1294" s="319">
        <f>'E M STEFAN ZWEIG'!I9</f>
        <v/>
      </c>
      <c r="B1294" s="320">
        <f>'E M STEFAN ZWEIG'!D9</f>
        <v/>
      </c>
    </row>
    <row r="1295" ht="15" customHeight="1" s="163">
      <c r="A1295" s="319">
        <f>'E M STEFAN ZWEIG'!I10</f>
        <v/>
      </c>
      <c r="B1295" s="320">
        <f>'E M STEFAN ZWEIG'!D10</f>
        <v/>
      </c>
    </row>
    <row r="1296" ht="15" customHeight="1" s="163">
      <c r="A1296" s="319">
        <f>'E M STEFAN ZWEIG'!I11</f>
        <v/>
      </c>
      <c r="B1296" s="320">
        <f>'E M STEFAN ZWEIG'!D11</f>
        <v/>
      </c>
    </row>
    <row r="1297" ht="15" customHeight="1" s="163">
      <c r="A1297" s="319">
        <f>'E M STEFAN ZWEIG'!I12</f>
        <v/>
      </c>
      <c r="B1297" s="320">
        <f>'E M STEFAN ZWEIG'!D12</f>
        <v/>
      </c>
    </row>
    <row r="1298" ht="15" customHeight="1" s="163">
      <c r="A1298" s="319">
        <f>'E M STEFAN ZWEIG'!I13</f>
        <v/>
      </c>
      <c r="B1298" s="320">
        <f>'E M STEFAN ZWEIG'!D13</f>
        <v/>
      </c>
    </row>
    <row r="1299" ht="15" customHeight="1" s="163">
      <c r="A1299" s="319">
        <f>'E M STEFAN ZWEIG'!I14</f>
        <v/>
      </c>
      <c r="B1299" s="320">
        <f>'E M STEFAN ZWEIG'!D14</f>
        <v/>
      </c>
    </row>
    <row r="1300" ht="15" customHeight="1" s="163">
      <c r="A1300" s="319">
        <f>'E M STEFAN ZWEIG'!I15</f>
        <v/>
      </c>
      <c r="B1300" s="320">
        <f>'E M STEFAN ZWEIG'!D15</f>
        <v/>
      </c>
    </row>
    <row r="1301" ht="15" customHeight="1" s="163">
      <c r="A1301" s="319">
        <f>'E M STEFAN ZWEIG'!I16</f>
        <v/>
      </c>
      <c r="B1301" s="320">
        <f>'E M STEFAN ZWEIG'!D16</f>
        <v/>
      </c>
    </row>
    <row r="1302" ht="15" customHeight="1" s="163">
      <c r="A1302" s="319">
        <f>'E M STEFAN ZWEIG'!I17</f>
        <v/>
      </c>
      <c r="B1302" s="320">
        <f>'E M STEFAN ZWEIG'!D17</f>
        <v/>
      </c>
    </row>
    <row r="1303" ht="15" customHeight="1" s="163">
      <c r="A1303" s="319">
        <f>'E M STEFAN ZWEIG'!I18</f>
        <v/>
      </c>
      <c r="B1303" s="320">
        <f>'E M STEFAN ZWEIG'!D18</f>
        <v/>
      </c>
    </row>
    <row r="1304" ht="15" customHeight="1" s="163">
      <c r="A1304" s="319">
        <f>'E M STEFAN ZWEIG'!I19</f>
        <v/>
      </c>
      <c r="B1304" s="320">
        <f>'E M STEFAN ZWEIG'!D19</f>
        <v/>
      </c>
    </row>
    <row r="1305" ht="15" customHeight="1" s="163">
      <c r="A1305" s="319">
        <f>'E M STEFAN ZWEIG'!I20</f>
        <v/>
      </c>
      <c r="B1305" s="320">
        <f>'E M STEFAN ZWEIG'!D20</f>
        <v/>
      </c>
    </row>
    <row r="1306" ht="15" customHeight="1" s="163">
      <c r="A1306" s="319">
        <f>'E M STEFAN ZWEIG'!I21</f>
        <v/>
      </c>
      <c r="B1306" s="320">
        <f>'E M STEFAN ZWEIG'!D21</f>
        <v/>
      </c>
    </row>
    <row r="1307" ht="15" customHeight="1" s="163">
      <c r="A1307" s="319">
        <f>'E M STEFAN ZWEIG'!I22</f>
        <v/>
      </c>
      <c r="B1307" s="320">
        <f>'E M STEFAN ZWEIG'!D22</f>
        <v/>
      </c>
    </row>
    <row r="1308" ht="15" customHeight="1" s="163">
      <c r="A1308" s="319">
        <f>'E M STEFAN ZWEIG'!I23</f>
        <v/>
      </c>
      <c r="B1308" s="320">
        <f>'E M STEFAN ZWEIG'!D23</f>
        <v/>
      </c>
    </row>
    <row r="1309" ht="15" customHeight="1" s="163">
      <c r="A1309" s="319">
        <f>'E M STEFAN ZWEIG'!I24</f>
        <v/>
      </c>
      <c r="B1309" s="320">
        <f>'E M STEFAN ZWEIG'!D24</f>
        <v/>
      </c>
    </row>
    <row r="1310" ht="15" customHeight="1" s="163">
      <c r="A1310" s="319">
        <f>'E M STEFAN ZWEIG'!I25</f>
        <v/>
      </c>
      <c r="B1310" s="320">
        <f>'E M STEFAN ZWEIG'!D25</f>
        <v/>
      </c>
    </row>
    <row r="1311" ht="15" customHeight="1" s="163">
      <c r="A1311" s="319">
        <f>'E M STEFAN ZWEIG'!I26</f>
        <v/>
      </c>
      <c r="B1311" s="320">
        <f>'E M STEFAN ZWEIG'!D26</f>
        <v/>
      </c>
    </row>
    <row r="1312" ht="15" customHeight="1" s="163">
      <c r="A1312" s="319">
        <f>'E M STEFAN ZWEIG'!I27</f>
        <v/>
      </c>
      <c r="B1312" s="320">
        <f>'E M STEFAN ZWEIG'!D27</f>
        <v/>
      </c>
    </row>
    <row r="1313" ht="15" customHeight="1" s="163">
      <c r="A1313" s="319">
        <f>'ESCOLA MUNICIPAL SENADOR MARIO '!I9</f>
        <v/>
      </c>
      <c r="B1313" s="320">
        <f>'ESCOLA MUNICIPAL SENADOR MARIO '!D9</f>
        <v/>
      </c>
    </row>
    <row r="1314" ht="15" customHeight="1" s="163">
      <c r="A1314" s="319">
        <f>'ESCOLA MUNICIPAL SENADOR MARIO '!I10</f>
        <v/>
      </c>
      <c r="B1314" s="320">
        <f>'ESCOLA MUNICIPAL SENADOR MARIO '!D10</f>
        <v/>
      </c>
    </row>
    <row r="1315" ht="15" customHeight="1" s="163">
      <c r="A1315" s="319">
        <f>'ESCOLA MUNICIPAL SENADOR MARIO '!I11</f>
        <v/>
      </c>
      <c r="B1315" s="320">
        <f>'ESCOLA MUNICIPAL SENADOR MARIO '!D11</f>
        <v/>
      </c>
    </row>
    <row r="1316" ht="15" customHeight="1" s="163">
      <c r="A1316" s="319">
        <f>'ESCOLA MUNICIPAL SENADOR MARIO '!I12</f>
        <v/>
      </c>
      <c r="B1316" s="320">
        <f>'ESCOLA MUNICIPAL SENADOR MARIO '!D12</f>
        <v/>
      </c>
    </row>
    <row r="1317" ht="15" customHeight="1" s="163">
      <c r="A1317" s="319">
        <f>'ESCOLA MUNICIPAL SENADOR MARIO '!I13</f>
        <v/>
      </c>
      <c r="B1317" s="320">
        <f>'ESCOLA MUNICIPAL SENADOR MARIO '!D13</f>
        <v/>
      </c>
    </row>
    <row r="1318" ht="15" customHeight="1" s="163">
      <c r="A1318" s="319">
        <f>'ESCOLA MUNICIPAL SENADOR MARIO '!I14</f>
        <v/>
      </c>
      <c r="B1318" s="320">
        <f>'ESCOLA MUNICIPAL SENADOR MARIO '!D14</f>
        <v/>
      </c>
    </row>
    <row r="1319" ht="15" customHeight="1" s="163">
      <c r="A1319" s="319">
        <f>'ESCOLA MUNICIPAL SENADOR MARIO '!I15</f>
        <v/>
      </c>
      <c r="B1319" s="320">
        <f>'ESCOLA MUNICIPAL SENADOR MARIO '!D15</f>
        <v/>
      </c>
    </row>
    <row r="1320" ht="15" customHeight="1" s="163">
      <c r="A1320" s="319">
        <f>'ESCOLA MUNICIPAL SENADOR MARIO '!I16</f>
        <v/>
      </c>
      <c r="B1320" s="320">
        <f>'ESCOLA MUNICIPAL SENADOR MARIO '!D16</f>
        <v/>
      </c>
    </row>
    <row r="1321" ht="15" customHeight="1" s="163">
      <c r="A1321" s="319">
        <f>'ESCOLA MUNICIPAL SENADOR MARIO '!I17</f>
        <v/>
      </c>
      <c r="B1321" s="320">
        <f>'ESCOLA MUNICIPAL SENADOR MARIO '!D17</f>
        <v/>
      </c>
    </row>
    <row r="1322" ht="15" customHeight="1" s="163">
      <c r="A1322" s="319">
        <f>'ESCOLA MUNICIPAL SENADOR MARIO '!I18</f>
        <v/>
      </c>
      <c r="B1322" s="320">
        <f>'ESCOLA MUNICIPAL SENADOR MARIO '!D18</f>
        <v/>
      </c>
    </row>
    <row r="1323" ht="15" customHeight="1" s="163">
      <c r="A1323" s="319">
        <f>'ESCOLA MUNICIPAL SENADOR MARIO '!I19</f>
        <v/>
      </c>
      <c r="B1323" s="320">
        <f>'ESCOLA MUNICIPAL SENADOR MARIO '!D19</f>
        <v/>
      </c>
    </row>
    <row r="1324" ht="15" customHeight="1" s="163">
      <c r="A1324" s="319">
        <f>'ESCOLA MUNICIPAL SENADOR MARIO '!I20</f>
        <v/>
      </c>
      <c r="B1324" s="320">
        <f>'ESCOLA MUNICIPAL SENADOR MARIO '!D20</f>
        <v/>
      </c>
    </row>
    <row r="1325" ht="15" customHeight="1" s="163">
      <c r="A1325" s="319">
        <f>'ESCOLA MUNICIPAL SENADOR MARIO '!I21</f>
        <v/>
      </c>
      <c r="B1325" s="320">
        <f>'ESCOLA MUNICIPAL SENADOR MARIO '!D21</f>
        <v/>
      </c>
    </row>
    <row r="1326" ht="15" customHeight="1" s="163">
      <c r="A1326" s="319">
        <f>'ESCOLA MUNICIPAL SENADOR MARIO '!I22</f>
        <v/>
      </c>
      <c r="B1326" s="320">
        <f>'ESCOLA MUNICIPAL SENADOR MARIO '!D22</f>
        <v/>
      </c>
    </row>
    <row r="1327" ht="15" customHeight="1" s="163">
      <c r="A1327" s="319">
        <f>'ESCOLA MUNICIPAL SENADOR MARIO '!I23</f>
        <v/>
      </c>
      <c r="B1327" s="320">
        <f>'ESCOLA MUNICIPAL SENADOR MARIO '!D23</f>
        <v/>
      </c>
    </row>
    <row r="1328" ht="15" customHeight="1" s="163">
      <c r="A1328" s="319">
        <f>'ESCOLA MUNICIPAL SENADOR MARIO '!I24</f>
        <v/>
      </c>
      <c r="B1328" s="320">
        <f>'ESCOLA MUNICIPAL SENADOR MARIO '!D24</f>
        <v/>
      </c>
    </row>
    <row r="1329" ht="15" customHeight="1" s="163">
      <c r="A1329" s="319">
        <f>'ESCOLA MUNICIPAL SENADOR MARIO '!I25</f>
        <v/>
      </c>
      <c r="B1329" s="320">
        <f>'ESCOLA MUNICIPAL SENADOR MARIO '!D25</f>
        <v/>
      </c>
    </row>
    <row r="1330" ht="15" customHeight="1" s="163">
      <c r="A1330" s="319">
        <f>'ESCOLA MUNICIPAL SENADOR MARIO '!I26</f>
        <v/>
      </c>
      <c r="B1330" s="320">
        <f>'ESCOLA MUNICIPAL SENADOR MARIO '!D26</f>
        <v/>
      </c>
    </row>
    <row r="1331" ht="15" customHeight="1" s="163">
      <c r="A1331" s="319">
        <f>'ESCOLA MUNICIPAL SENADOR MARIO '!I27</f>
        <v/>
      </c>
      <c r="B1331" s="320">
        <f>'ESCOLA MUNICIPAL SENADOR MARIO '!D27</f>
        <v/>
      </c>
    </row>
    <row r="1332" ht="15" customHeight="1" s="163">
      <c r="A1332" s="319">
        <f>'E M DR RUBENS DE CASTRO BOMTEMP'!I9</f>
        <v/>
      </c>
      <c r="B1332" s="320">
        <f>'E M DR RUBENS DE CASTRO BOMTEMP'!D9</f>
        <v/>
      </c>
    </row>
    <row r="1333" ht="15" customHeight="1" s="163">
      <c r="A1333" s="319">
        <f>'E M DR RUBENS DE CASTRO BOMTEMP'!I10</f>
        <v/>
      </c>
      <c r="B1333" s="320">
        <f>'E M DR RUBENS DE CASTRO BOMTEMP'!D10</f>
        <v/>
      </c>
    </row>
    <row r="1334" ht="15" customHeight="1" s="163">
      <c r="A1334" s="319">
        <f>'E M DR RUBENS DE CASTRO BOMTEMP'!I11</f>
        <v/>
      </c>
      <c r="B1334" s="320">
        <f>'E M DR RUBENS DE CASTRO BOMTEMP'!D11</f>
        <v/>
      </c>
    </row>
    <row r="1335" ht="15" customHeight="1" s="163">
      <c r="A1335" s="319">
        <f>'E M DR RUBENS DE CASTRO BOMTEMP'!I12</f>
        <v/>
      </c>
      <c r="B1335" s="320">
        <f>'E M DR RUBENS DE CASTRO BOMTEMP'!D12</f>
        <v/>
      </c>
    </row>
    <row r="1336" ht="15" customHeight="1" s="163">
      <c r="A1336" s="319">
        <f>'E M DR RUBENS DE CASTRO BOMTEMP'!I13</f>
        <v/>
      </c>
      <c r="B1336" s="320">
        <f>'E M DR RUBENS DE CASTRO BOMTEMP'!D13</f>
        <v/>
      </c>
    </row>
    <row r="1337" ht="15" customHeight="1" s="163">
      <c r="A1337" s="319">
        <f>'E M DR RUBENS DE CASTRO BOMTEMP'!I14</f>
        <v/>
      </c>
      <c r="B1337" s="320">
        <f>'E M DR RUBENS DE CASTRO BOMTEMP'!D14</f>
        <v/>
      </c>
    </row>
    <row r="1338" ht="15" customHeight="1" s="163">
      <c r="A1338" s="319">
        <f>'E M DR RUBENS DE CASTRO BOMTEMP'!I15</f>
        <v/>
      </c>
      <c r="B1338" s="320">
        <f>'E M DR RUBENS DE CASTRO BOMTEMP'!D15</f>
        <v/>
      </c>
    </row>
    <row r="1339" ht="15" customHeight="1" s="163">
      <c r="A1339" s="319">
        <f>'E M DR RUBENS DE CASTRO BOMTEMP'!I16</f>
        <v/>
      </c>
      <c r="B1339" s="320">
        <f>'E M DR RUBENS DE CASTRO BOMTEMP'!D16</f>
        <v/>
      </c>
    </row>
    <row r="1340" ht="15" customHeight="1" s="163">
      <c r="A1340" s="319">
        <f>'E M DR RUBENS DE CASTRO BOMTEMP'!I17</f>
        <v/>
      </c>
      <c r="B1340" s="320">
        <f>'E M DR RUBENS DE CASTRO BOMTEMP'!D17</f>
        <v/>
      </c>
    </row>
    <row r="1341" ht="15" customHeight="1" s="163">
      <c r="A1341" s="319">
        <f>'E M DR RUBENS DE CASTRO BOMTEMP'!I18</f>
        <v/>
      </c>
      <c r="B1341" s="320">
        <f>'E M DR RUBENS DE CASTRO BOMTEMP'!D18</f>
        <v/>
      </c>
    </row>
    <row r="1342" ht="15" customHeight="1" s="163">
      <c r="A1342" s="319">
        <f>'E M DR RUBENS DE CASTRO BOMTEMP'!I19</f>
        <v/>
      </c>
      <c r="B1342" s="320">
        <f>'E M DR RUBENS DE CASTRO BOMTEMP'!D19</f>
        <v/>
      </c>
    </row>
    <row r="1343" ht="15" customHeight="1" s="163">
      <c r="A1343" s="319">
        <f>'E M DR RUBENS DE CASTRO BOMTEMP'!I20</f>
        <v/>
      </c>
      <c r="B1343" s="320">
        <f>'E M DR RUBENS DE CASTRO BOMTEMP'!D20</f>
        <v/>
      </c>
    </row>
    <row r="1344" ht="15" customHeight="1" s="163">
      <c r="A1344" s="319">
        <f>'E M DR RUBENS DE CASTRO BOMTEMP'!I21</f>
        <v/>
      </c>
      <c r="B1344" s="320">
        <f>'E M DR RUBENS DE CASTRO BOMTEMP'!D21</f>
        <v/>
      </c>
    </row>
    <row r="1345" ht="15" customHeight="1" s="163">
      <c r="A1345" s="319">
        <f>'E M DR RUBENS DE CASTRO BOMTEMP'!I22</f>
        <v/>
      </c>
      <c r="B1345" s="320">
        <f>'E M DR RUBENS DE CASTRO BOMTEMP'!D22</f>
        <v/>
      </c>
    </row>
    <row r="1346" ht="15" customHeight="1" s="163">
      <c r="A1346" s="319">
        <f>'E M DR RUBENS DE CASTRO BOMTEMP'!I23</f>
        <v/>
      </c>
      <c r="B1346" s="320">
        <f>'E M DR RUBENS DE CASTRO BOMTEMP'!D23</f>
        <v/>
      </c>
    </row>
    <row r="1347" ht="15" customHeight="1" s="163">
      <c r="A1347" s="319">
        <f>'E M DR RUBENS DE CASTRO BOMTEMP'!I24</f>
        <v/>
      </c>
      <c r="B1347" s="320">
        <f>'E M DR RUBENS DE CASTRO BOMTEMP'!D24</f>
        <v/>
      </c>
    </row>
    <row r="1348" ht="15" customHeight="1" s="163">
      <c r="A1348" s="319">
        <f>'E M DR RUBENS DE CASTRO BOMTEMP'!I25</f>
        <v/>
      </c>
      <c r="B1348" s="320">
        <f>'E M DR RUBENS DE CASTRO BOMTEMP'!D25</f>
        <v/>
      </c>
    </row>
    <row r="1349" ht="15" customHeight="1" s="163">
      <c r="A1349" s="319">
        <f>'E M DR RUBENS DE CASTRO BOMTEMP'!I26</f>
        <v/>
      </c>
      <c r="B1349" s="320">
        <f>'E M DR RUBENS DE CASTRO BOMTEMP'!D26</f>
        <v/>
      </c>
    </row>
    <row r="1350" ht="15" customHeight="1" s="163">
      <c r="A1350" s="319">
        <f>'E M DR RUBENS DE CASTRO BOMTEMP'!I27</f>
        <v/>
      </c>
      <c r="B1350" s="320">
        <f>'E M DR RUBENS DE CASTRO BOMTEMP'!D27</f>
        <v/>
      </c>
    </row>
    <row r="1351" ht="15" customHeight="1" s="163">
      <c r="A1351" s="319">
        <f>'E M PAULO FREIRE'!I9</f>
        <v/>
      </c>
      <c r="B1351" s="320">
        <f>'E M PAULO FREIRE'!D9</f>
        <v/>
      </c>
    </row>
    <row r="1352" ht="15" customHeight="1" s="163">
      <c r="A1352" s="319">
        <f>'E M PAULO FREIRE'!I10</f>
        <v/>
      </c>
      <c r="B1352" s="320">
        <f>'E M PAULO FREIRE'!D10</f>
        <v/>
      </c>
    </row>
    <row r="1353" ht="15" customHeight="1" s="163">
      <c r="A1353" s="319">
        <f>'E M PAULO FREIRE'!I11</f>
        <v/>
      </c>
      <c r="B1353" s="320">
        <f>'E M PAULO FREIRE'!D11</f>
        <v/>
      </c>
    </row>
    <row r="1354" ht="15" customHeight="1" s="163">
      <c r="A1354" s="319">
        <f>'E M PAULO FREIRE'!I12</f>
        <v/>
      </c>
      <c r="B1354" s="320">
        <f>'E M PAULO FREIRE'!D12</f>
        <v/>
      </c>
    </row>
    <row r="1355" ht="15" customHeight="1" s="163">
      <c r="A1355" s="319">
        <f>'E M PAULO FREIRE'!I13</f>
        <v/>
      </c>
      <c r="B1355" s="320">
        <f>'E M PAULO FREIRE'!D13</f>
        <v/>
      </c>
    </row>
    <row r="1356" ht="15" customHeight="1" s="163">
      <c r="A1356" s="319">
        <f>'E M PAULO FREIRE'!I14</f>
        <v/>
      </c>
      <c r="B1356" s="320">
        <f>'E M PAULO FREIRE'!D14</f>
        <v/>
      </c>
    </row>
    <row r="1357" ht="15" customHeight="1" s="163">
      <c r="A1357" s="319">
        <f>'E M PAULO FREIRE'!I15</f>
        <v/>
      </c>
      <c r="B1357" s="320">
        <f>'E M PAULO FREIRE'!D15</f>
        <v/>
      </c>
    </row>
    <row r="1358" ht="15" customHeight="1" s="163">
      <c r="A1358" s="319">
        <f>'E M PAULO FREIRE'!I16</f>
        <v/>
      </c>
      <c r="B1358" s="320">
        <f>'E M PAULO FREIRE'!D16</f>
        <v/>
      </c>
    </row>
    <row r="1359" ht="15" customHeight="1" s="163">
      <c r="A1359" s="319">
        <f>'E M PAULO FREIRE'!I17</f>
        <v/>
      </c>
      <c r="B1359" s="320">
        <f>'E M PAULO FREIRE'!D17</f>
        <v/>
      </c>
    </row>
    <row r="1360" ht="15" customHeight="1" s="163">
      <c r="A1360" s="319">
        <f>'E M PAULO FREIRE'!I18</f>
        <v/>
      </c>
      <c r="B1360" s="320">
        <f>'E M PAULO FREIRE'!D18</f>
        <v/>
      </c>
    </row>
    <row r="1361" ht="15" customHeight="1" s="163">
      <c r="A1361" s="319">
        <f>'E M PAULO FREIRE'!I19</f>
        <v/>
      </c>
      <c r="B1361" s="320">
        <f>'E M PAULO FREIRE'!D19</f>
        <v/>
      </c>
    </row>
    <row r="1362" ht="15" customHeight="1" s="163">
      <c r="A1362" s="319">
        <f>'E M PAULO FREIRE'!I20</f>
        <v/>
      </c>
      <c r="B1362" s="320">
        <f>'E M PAULO FREIRE'!D20</f>
        <v/>
      </c>
    </row>
    <row r="1363" ht="15" customHeight="1" s="163">
      <c r="A1363" s="319">
        <f>'E M PAULO FREIRE'!I21</f>
        <v/>
      </c>
      <c r="B1363" s="320">
        <f>'E M PAULO FREIRE'!D21</f>
        <v/>
      </c>
    </row>
    <row r="1364" ht="15" customHeight="1" s="163">
      <c r="A1364" s="319">
        <f>'E M PAULO FREIRE'!I22</f>
        <v/>
      </c>
      <c r="B1364" s="320">
        <f>'E M PAULO FREIRE'!D22</f>
        <v/>
      </c>
    </row>
    <row r="1365" ht="15" customHeight="1" s="163">
      <c r="A1365" s="319">
        <f>'E M PAULO FREIRE'!I23</f>
        <v/>
      </c>
      <c r="B1365" s="320">
        <f>'E M PAULO FREIRE'!D23</f>
        <v/>
      </c>
    </row>
    <row r="1366" ht="15" customHeight="1" s="163">
      <c r="A1366" s="319">
        <f>'E M PAULO FREIRE'!I24</f>
        <v/>
      </c>
      <c r="B1366" s="320">
        <f>'E M PAULO FREIRE'!D24</f>
        <v/>
      </c>
    </row>
    <row r="1367" ht="15" customHeight="1" s="163">
      <c r="A1367" s="319">
        <f>'E M PAULO FREIRE'!I25</f>
        <v/>
      </c>
      <c r="B1367" s="320">
        <f>'E M PAULO FREIRE'!D25</f>
        <v/>
      </c>
    </row>
    <row r="1368" ht="15" customHeight="1" s="163">
      <c r="A1368" s="319">
        <f>'E M PAULO FREIRE'!I26</f>
        <v/>
      </c>
      <c r="B1368" s="320">
        <f>'E M PAULO FREIRE'!D26</f>
        <v/>
      </c>
    </row>
    <row r="1369" ht="15" customHeight="1" s="163">
      <c r="A1369" s="319">
        <f>'E M PAULO FREIRE'!I27</f>
        <v/>
      </c>
      <c r="B1369" s="320">
        <f>'E M PAULO FREIRE'!D27</f>
        <v/>
      </c>
    </row>
    <row r="1370" ht="15" customHeight="1" s="163">
      <c r="A1370" s="319">
        <f>'E M PROFª MARIA CAMPOS DA SILVA'!I9</f>
        <v/>
      </c>
      <c r="B1370" s="320">
        <f>'E M PROFª MARIA CAMPOS DA SILVA'!D9</f>
        <v/>
      </c>
    </row>
    <row r="1371" ht="15" customHeight="1" s="163">
      <c r="A1371" s="319">
        <f>'E M PROFª MARIA CAMPOS DA SILVA'!I10</f>
        <v/>
      </c>
      <c r="B1371" s="320">
        <f>'E M PROFª MARIA CAMPOS DA SILVA'!D10</f>
        <v/>
      </c>
    </row>
    <row r="1372" ht="15" customHeight="1" s="163">
      <c r="A1372" s="319">
        <f>'E M PROFª MARIA CAMPOS DA SILVA'!I11</f>
        <v/>
      </c>
      <c r="B1372" s="320">
        <f>'E M PROFª MARIA CAMPOS DA SILVA'!D11</f>
        <v/>
      </c>
    </row>
    <row r="1373" ht="15" customHeight="1" s="163">
      <c r="A1373" s="319">
        <f>'E M PROFª MARIA CAMPOS DA SILVA'!I12</f>
        <v/>
      </c>
      <c r="B1373" s="320">
        <f>'E M PROFª MARIA CAMPOS DA SILVA'!D12</f>
        <v/>
      </c>
    </row>
    <row r="1374" ht="15" customHeight="1" s="163">
      <c r="A1374" s="319">
        <f>'E M PROFª MARIA CAMPOS DA SILVA'!I13</f>
        <v/>
      </c>
      <c r="B1374" s="320">
        <f>'E M PROFª MARIA CAMPOS DA SILVA'!D13</f>
        <v/>
      </c>
    </row>
    <row r="1375" ht="15" customHeight="1" s="163">
      <c r="A1375" s="319">
        <f>'E M PROFª MARIA CAMPOS DA SILVA'!I14</f>
        <v/>
      </c>
      <c r="B1375" s="320">
        <f>'E M PROFª MARIA CAMPOS DA SILVA'!D14</f>
        <v/>
      </c>
    </row>
    <row r="1376" ht="15" customHeight="1" s="163">
      <c r="A1376" s="319">
        <f>'E M PROFª MARIA CAMPOS DA SILVA'!I15</f>
        <v/>
      </c>
      <c r="B1376" s="320">
        <f>'E M PROFª MARIA CAMPOS DA SILVA'!D15</f>
        <v/>
      </c>
    </row>
    <row r="1377" ht="15" customHeight="1" s="163">
      <c r="A1377" s="319">
        <f>'E M PROFª MARIA CAMPOS DA SILVA'!I16</f>
        <v/>
      </c>
      <c r="B1377" s="320">
        <f>'E M PROFª MARIA CAMPOS DA SILVA'!D16</f>
        <v/>
      </c>
    </row>
    <row r="1378" ht="15" customHeight="1" s="163">
      <c r="A1378" s="319">
        <f>'E M PROFª MARIA CAMPOS DA SILVA'!I17</f>
        <v/>
      </c>
      <c r="B1378" s="320">
        <f>'E M PROFª MARIA CAMPOS DA SILVA'!D17</f>
        <v/>
      </c>
    </row>
    <row r="1379" ht="15" customHeight="1" s="163">
      <c r="A1379" s="319">
        <f>'E M PROFª MARIA CAMPOS DA SILVA'!I18</f>
        <v/>
      </c>
      <c r="B1379" s="320">
        <f>'E M PROFª MARIA CAMPOS DA SILVA'!D18</f>
        <v/>
      </c>
    </row>
    <row r="1380" ht="15" customHeight="1" s="163">
      <c r="A1380" s="319">
        <f>'E M PROFª MARIA CAMPOS DA SILVA'!I19</f>
        <v/>
      </c>
      <c r="B1380" s="320">
        <f>'E M PROFª MARIA CAMPOS DA SILVA'!D19</f>
        <v/>
      </c>
    </row>
    <row r="1381" ht="15" customHeight="1" s="163">
      <c r="A1381" s="319">
        <f>'E M PROFª MARIA CAMPOS DA SILVA'!I20</f>
        <v/>
      </c>
      <c r="B1381" s="320">
        <f>'E M PROFª MARIA CAMPOS DA SILVA'!D20</f>
        <v/>
      </c>
    </row>
    <row r="1382" ht="15" customHeight="1" s="163">
      <c r="A1382" s="319">
        <f>'E M PROFª MARIA CAMPOS DA SILVA'!I21</f>
        <v/>
      </c>
      <c r="B1382" s="320">
        <f>'E M PROFª MARIA CAMPOS DA SILVA'!D21</f>
        <v/>
      </c>
    </row>
    <row r="1383" ht="15" customHeight="1" s="163">
      <c r="A1383" s="319">
        <f>'E M PROFª MARIA CAMPOS DA SILVA'!I22</f>
        <v/>
      </c>
      <c r="B1383" s="320">
        <f>'E M PROFª MARIA CAMPOS DA SILVA'!D22</f>
        <v/>
      </c>
    </row>
    <row r="1384" ht="15" customHeight="1" s="163">
      <c r="A1384" s="319">
        <f>'E M PROFª MARIA CAMPOS DA SILVA'!I23</f>
        <v/>
      </c>
      <c r="B1384" s="320">
        <f>'E M PROFª MARIA CAMPOS DA SILVA'!D23</f>
        <v/>
      </c>
    </row>
    <row r="1385" ht="15" customHeight="1" s="163">
      <c r="A1385" s="319">
        <f>'E M PROFª MARIA CAMPOS DA SILVA'!I24</f>
        <v/>
      </c>
      <c r="B1385" s="320">
        <f>'E M PROFª MARIA CAMPOS DA SILVA'!D24</f>
        <v/>
      </c>
    </row>
    <row r="1386" ht="15" customHeight="1" s="163">
      <c r="A1386" s="319">
        <f>'E M PROFª MARIA CAMPOS DA SILVA'!I25</f>
        <v/>
      </c>
      <c r="B1386" s="320">
        <f>'E M PROFª MARIA CAMPOS DA SILVA'!D25</f>
        <v/>
      </c>
    </row>
    <row r="1387" ht="15" customHeight="1" s="163">
      <c r="A1387" s="319">
        <f>'E M PROFª MARIA CAMPOS DA SILVA'!I26</f>
        <v/>
      </c>
      <c r="B1387" s="320">
        <f>'E M PROFª MARIA CAMPOS DA SILVA'!D26</f>
        <v/>
      </c>
    </row>
    <row r="1388" ht="15" customHeight="1" s="163">
      <c r="A1388" s="319">
        <f>'E M PROFª MARIA CAMPOS DA SILVA'!I27</f>
        <v/>
      </c>
      <c r="B1388" s="320">
        <f>'E M PROFª MARIA CAMPOS DA SILVA'!D27</f>
        <v/>
      </c>
    </row>
    <row r="1389" ht="15" customHeight="1" s="163">
      <c r="A1389" s="319">
        <f>'E M HERCÍLIA HENRIQUES MORET'!I9</f>
        <v/>
      </c>
      <c r="B1389" s="320">
        <f>'E M HERCÍLIA HENRIQUES MORET'!D9</f>
        <v/>
      </c>
    </row>
    <row r="1390" ht="15" customHeight="1" s="163">
      <c r="A1390" s="319">
        <f>'E M HERCÍLIA HENRIQUES MORET'!I10</f>
        <v/>
      </c>
      <c r="B1390" s="320">
        <f>'E M HERCÍLIA HENRIQUES MORET'!D10</f>
        <v/>
      </c>
    </row>
    <row r="1391" ht="15" customHeight="1" s="163">
      <c r="A1391" s="319">
        <f>'E M HERCÍLIA HENRIQUES MORET'!I11</f>
        <v/>
      </c>
      <c r="B1391" s="320">
        <f>'E M HERCÍLIA HENRIQUES MORET'!D11</f>
        <v/>
      </c>
    </row>
    <row r="1392" ht="15" customHeight="1" s="163">
      <c r="A1392" s="319">
        <f>'E M HERCÍLIA HENRIQUES MORET'!I12</f>
        <v/>
      </c>
      <c r="B1392" s="320">
        <f>'E M HERCÍLIA HENRIQUES MORET'!D12</f>
        <v/>
      </c>
    </row>
    <row r="1393" ht="15" customHeight="1" s="163">
      <c r="A1393" s="319">
        <f>'E M HERCÍLIA HENRIQUES MORET'!I13</f>
        <v/>
      </c>
      <c r="B1393" s="320">
        <f>'E M HERCÍLIA HENRIQUES MORET'!D13</f>
        <v/>
      </c>
    </row>
    <row r="1394" ht="15" customHeight="1" s="163">
      <c r="A1394" s="319">
        <f>'E M HERCÍLIA HENRIQUES MORET'!I14</f>
        <v/>
      </c>
      <c r="B1394" s="320">
        <f>'E M HERCÍLIA HENRIQUES MORET'!D14</f>
        <v/>
      </c>
    </row>
    <row r="1395" ht="15" customHeight="1" s="163">
      <c r="A1395" s="319">
        <f>'E M HERCÍLIA HENRIQUES MORET'!I15</f>
        <v/>
      </c>
      <c r="B1395" s="320">
        <f>'E M HERCÍLIA HENRIQUES MORET'!D15</f>
        <v/>
      </c>
    </row>
    <row r="1396" ht="15" customHeight="1" s="163">
      <c r="A1396" s="319">
        <f>'E M HERCÍLIA HENRIQUES MORET'!I16</f>
        <v/>
      </c>
      <c r="B1396" s="320">
        <f>'E M HERCÍLIA HENRIQUES MORET'!D16</f>
        <v/>
      </c>
    </row>
    <row r="1397" ht="15" customHeight="1" s="163">
      <c r="A1397" s="319">
        <f>'E M HERCÍLIA HENRIQUES MORET'!I17</f>
        <v/>
      </c>
      <c r="B1397" s="320">
        <f>'E M HERCÍLIA HENRIQUES MORET'!D17</f>
        <v/>
      </c>
    </row>
    <row r="1398" ht="15" customHeight="1" s="163">
      <c r="A1398" s="319">
        <f>'E M HERCÍLIA HENRIQUES MORET'!I18</f>
        <v/>
      </c>
      <c r="B1398" s="320">
        <f>'E M HERCÍLIA HENRIQUES MORET'!D18</f>
        <v/>
      </c>
    </row>
    <row r="1399" ht="15" customHeight="1" s="163">
      <c r="A1399" s="319">
        <f>'E M HERCÍLIA HENRIQUES MORET'!I19</f>
        <v/>
      </c>
      <c r="B1399" s="320">
        <f>'E M HERCÍLIA HENRIQUES MORET'!D19</f>
        <v/>
      </c>
    </row>
    <row r="1400" ht="15" customHeight="1" s="163">
      <c r="A1400" s="319">
        <f>'E M HERCÍLIA HENRIQUES MORET'!I20</f>
        <v/>
      </c>
      <c r="B1400" s="320">
        <f>'E M HERCÍLIA HENRIQUES MORET'!D20</f>
        <v/>
      </c>
    </row>
    <row r="1401" ht="15" customHeight="1" s="163">
      <c r="A1401" s="319">
        <f>'E M HERCÍLIA HENRIQUES MORET'!I21</f>
        <v/>
      </c>
      <c r="B1401" s="320">
        <f>'E M HERCÍLIA HENRIQUES MORET'!D21</f>
        <v/>
      </c>
    </row>
    <row r="1402" ht="15" customHeight="1" s="163">
      <c r="A1402" s="319">
        <f>'E M HERCÍLIA HENRIQUES MORET'!I22</f>
        <v/>
      </c>
      <c r="B1402" s="320">
        <f>'E M HERCÍLIA HENRIQUES MORET'!D22</f>
        <v/>
      </c>
    </row>
    <row r="1403" ht="15" customHeight="1" s="163">
      <c r="A1403" s="319">
        <f>'E M HERCÍLIA HENRIQUES MORET'!I23</f>
        <v/>
      </c>
      <c r="B1403" s="320">
        <f>'E M HERCÍLIA HENRIQUES MORET'!D23</f>
        <v/>
      </c>
    </row>
    <row r="1404" ht="15" customHeight="1" s="163">
      <c r="A1404" s="319">
        <f>'E M HERCÍLIA HENRIQUES MORET'!I24</f>
        <v/>
      </c>
      <c r="B1404" s="320">
        <f>'E M HERCÍLIA HENRIQUES MORET'!D24</f>
        <v/>
      </c>
    </row>
    <row r="1405" ht="15" customHeight="1" s="163">
      <c r="A1405" s="319">
        <f>'E M HERCÍLIA HENRIQUES MORET'!I25</f>
        <v/>
      </c>
      <c r="B1405" s="320">
        <f>'E M HERCÍLIA HENRIQUES MORET'!D25</f>
        <v/>
      </c>
    </row>
    <row r="1406" ht="15" customHeight="1" s="163">
      <c r="A1406" s="319">
        <f>'E M HERCÍLIA HENRIQUES MORET'!I26</f>
        <v/>
      </c>
      <c r="B1406" s="320">
        <f>'E M HERCÍLIA HENRIQUES MORET'!D26</f>
        <v/>
      </c>
    </row>
    <row r="1407" ht="15" customHeight="1" s="163">
      <c r="A1407" s="319">
        <f>'E M HERCÍLIA HENRIQUES MORET'!I27</f>
        <v/>
      </c>
      <c r="B1407" s="320">
        <f>'E M HERCÍLIA HENRIQUES MORET'!D27</f>
        <v/>
      </c>
    </row>
    <row r="1408" ht="15" customHeight="1" s="163">
      <c r="A1408" s="319">
        <f>'ESCOLA MUNICIPALIZADA MOYSÉS FU'!I9</f>
        <v/>
      </c>
      <c r="B1408" s="320">
        <f>'ESCOLA MUNICIPALIZADA MOYSÉS FU'!D9</f>
        <v/>
      </c>
    </row>
    <row r="1409" ht="15" customHeight="1" s="163">
      <c r="A1409" s="319">
        <f>'ESCOLA MUNICIPALIZADA MOYSÉS FU'!I10</f>
        <v/>
      </c>
      <c r="B1409" s="320">
        <f>'ESCOLA MUNICIPALIZADA MOYSÉS FU'!D10</f>
        <v/>
      </c>
    </row>
    <row r="1410" ht="15" customHeight="1" s="163">
      <c r="A1410" s="319">
        <f>'ESCOLA MUNICIPALIZADA MOYSÉS FU'!I11</f>
        <v/>
      </c>
      <c r="B1410" s="320">
        <f>'ESCOLA MUNICIPALIZADA MOYSÉS FU'!D11</f>
        <v/>
      </c>
    </row>
    <row r="1411" ht="15" customHeight="1" s="163">
      <c r="A1411" s="319">
        <f>'ESCOLA MUNICIPALIZADA MOYSÉS FU'!I12</f>
        <v/>
      </c>
      <c r="B1411" s="320">
        <f>'ESCOLA MUNICIPALIZADA MOYSÉS FU'!D12</f>
        <v/>
      </c>
    </row>
    <row r="1412" ht="15" customHeight="1" s="163">
      <c r="A1412" s="319">
        <f>'ESCOLA MUNICIPALIZADA MOYSÉS FU'!I13</f>
        <v/>
      </c>
      <c r="B1412" s="320">
        <f>'ESCOLA MUNICIPALIZADA MOYSÉS FU'!D13</f>
        <v/>
      </c>
    </row>
    <row r="1413" ht="15" customHeight="1" s="163">
      <c r="A1413" s="319">
        <f>'ESCOLA MUNICIPALIZADA MOYSÉS FU'!I14</f>
        <v/>
      </c>
      <c r="B1413" s="320">
        <f>'ESCOLA MUNICIPALIZADA MOYSÉS FU'!D14</f>
        <v/>
      </c>
    </row>
    <row r="1414" ht="15" customHeight="1" s="163">
      <c r="A1414" s="319">
        <f>'ESCOLA MUNICIPALIZADA MOYSÉS FU'!I15</f>
        <v/>
      </c>
      <c r="B1414" s="320">
        <f>'ESCOLA MUNICIPALIZADA MOYSÉS FU'!D15</f>
        <v/>
      </c>
    </row>
    <row r="1415" ht="15" customHeight="1" s="163">
      <c r="A1415" s="319">
        <f>'ESCOLA MUNICIPALIZADA MOYSÉS FU'!I16</f>
        <v/>
      </c>
      <c r="B1415" s="320">
        <f>'ESCOLA MUNICIPALIZADA MOYSÉS FU'!D16</f>
        <v/>
      </c>
    </row>
    <row r="1416" ht="15" customHeight="1" s="163">
      <c r="A1416" s="319">
        <f>'ESCOLA MUNICIPALIZADA MOYSÉS FU'!I17</f>
        <v/>
      </c>
      <c r="B1416" s="320">
        <f>'ESCOLA MUNICIPALIZADA MOYSÉS FU'!D17</f>
        <v/>
      </c>
    </row>
    <row r="1417" ht="15" customHeight="1" s="163">
      <c r="A1417" s="319">
        <f>'ESCOLA MUNICIPALIZADA MOYSÉS FU'!I18</f>
        <v/>
      </c>
      <c r="B1417" s="320">
        <f>'ESCOLA MUNICIPALIZADA MOYSÉS FU'!D18</f>
        <v/>
      </c>
    </row>
    <row r="1418" ht="15" customHeight="1" s="163">
      <c r="A1418" s="319">
        <f>'ESCOLA MUNICIPALIZADA MOYSÉS FU'!I19</f>
        <v/>
      </c>
      <c r="B1418" s="320">
        <f>'ESCOLA MUNICIPALIZADA MOYSÉS FU'!D19</f>
        <v/>
      </c>
    </row>
    <row r="1419" ht="15" customHeight="1" s="163">
      <c r="A1419" s="319">
        <f>'ESCOLA MUNICIPALIZADA MOYSÉS FU'!I20</f>
        <v/>
      </c>
      <c r="B1419" s="320">
        <f>'ESCOLA MUNICIPALIZADA MOYSÉS FU'!D20</f>
        <v/>
      </c>
    </row>
    <row r="1420" ht="15" customHeight="1" s="163">
      <c r="A1420" s="319">
        <f>'ESCOLA MUNICIPALIZADA MOYSÉS FU'!I21</f>
        <v/>
      </c>
      <c r="B1420" s="320">
        <f>'ESCOLA MUNICIPALIZADA MOYSÉS FU'!D21</f>
        <v/>
      </c>
    </row>
    <row r="1421" ht="15" customHeight="1" s="163">
      <c r="A1421" s="319">
        <f>'ESCOLA MUNICIPALIZADA MOYSÉS FU'!I22</f>
        <v/>
      </c>
      <c r="B1421" s="320">
        <f>'ESCOLA MUNICIPALIZADA MOYSÉS FU'!D22</f>
        <v/>
      </c>
    </row>
    <row r="1422" ht="15" customHeight="1" s="163">
      <c r="A1422" s="319">
        <f>'ESCOLA MUNICIPALIZADA MOYSÉS FU'!I23</f>
        <v/>
      </c>
      <c r="B1422" s="320">
        <f>'ESCOLA MUNICIPALIZADA MOYSÉS FU'!D23</f>
        <v/>
      </c>
    </row>
    <row r="1423" ht="15" customHeight="1" s="163">
      <c r="A1423" s="319">
        <f>'ESCOLA MUNICIPALIZADA MOYSÉS FU'!I24</f>
        <v/>
      </c>
      <c r="B1423" s="320">
        <f>'ESCOLA MUNICIPALIZADA MOYSÉS FU'!D24</f>
        <v/>
      </c>
    </row>
    <row r="1424" ht="15" customHeight="1" s="163">
      <c r="A1424" s="319">
        <f>'ESCOLA MUNICIPALIZADA MOYSÉS FU'!I25</f>
        <v/>
      </c>
      <c r="B1424" s="320">
        <f>'ESCOLA MUNICIPALIZADA MOYSÉS FU'!D25</f>
        <v/>
      </c>
    </row>
    <row r="1425" ht="15" customHeight="1" s="163">
      <c r="A1425" s="319">
        <f>'ESCOLA MUNICIPALIZADA MOYSÉS FU'!I26</f>
        <v/>
      </c>
      <c r="B1425" s="320">
        <f>'ESCOLA MUNICIPALIZADA MOYSÉS FU'!D26</f>
        <v/>
      </c>
    </row>
    <row r="1426" ht="15" customHeight="1" s="163">
      <c r="A1426" s="319">
        <f>'ESCOLA MUNICIPALIZADA MOYSÉS FU'!I27</f>
        <v/>
      </c>
      <c r="B1426" s="320">
        <f>'ESCOLA MUNICIPALIZADA MOYSÉS FU'!D27</f>
        <v/>
      </c>
    </row>
    <row r="1427" ht="15" customHeight="1" s="163">
      <c r="A1427" s="319">
        <f>'CIEP BRIZOLÃO 474 MAESTRO GUERR'!I9</f>
        <v/>
      </c>
      <c r="B1427" s="320">
        <f>'CIEP BRIZOLÃO 474 MAESTRO GUERR'!D9</f>
        <v/>
      </c>
    </row>
    <row r="1428" ht="15" customHeight="1" s="163">
      <c r="A1428" s="319">
        <f>'CIEP BRIZOLÃO 474 MAESTRO GUERR'!I10</f>
        <v/>
      </c>
      <c r="B1428" s="320">
        <f>'CIEP BRIZOLÃO 474 MAESTRO GUERR'!D10</f>
        <v/>
      </c>
    </row>
    <row r="1429" ht="15" customHeight="1" s="163">
      <c r="A1429" s="319">
        <f>'CIEP BRIZOLÃO 474 MAESTRO GUERR'!I11</f>
        <v/>
      </c>
      <c r="B1429" s="320">
        <f>'CIEP BRIZOLÃO 474 MAESTRO GUERR'!D11</f>
        <v/>
      </c>
    </row>
    <row r="1430" ht="15" customHeight="1" s="163">
      <c r="A1430" s="319">
        <f>'CIEP BRIZOLÃO 474 MAESTRO GUERR'!I12</f>
        <v/>
      </c>
      <c r="B1430" s="320">
        <f>'CIEP BRIZOLÃO 474 MAESTRO GUERR'!D12</f>
        <v/>
      </c>
    </row>
    <row r="1431" ht="15" customHeight="1" s="163">
      <c r="A1431" s="319">
        <f>'CIEP BRIZOLÃO 474 MAESTRO GUERR'!I13</f>
        <v/>
      </c>
      <c r="B1431" s="320">
        <f>'CIEP BRIZOLÃO 474 MAESTRO GUERR'!D13</f>
        <v/>
      </c>
    </row>
    <row r="1432" ht="15" customHeight="1" s="163">
      <c r="A1432" s="319">
        <f>'CIEP BRIZOLÃO 474 MAESTRO GUERR'!I14</f>
        <v/>
      </c>
      <c r="B1432" s="320">
        <f>'CIEP BRIZOLÃO 474 MAESTRO GUERR'!D14</f>
        <v/>
      </c>
    </row>
    <row r="1433" ht="15" customHeight="1" s="163">
      <c r="A1433" s="319">
        <f>'CIEP BRIZOLÃO 474 MAESTRO GUERR'!I15</f>
        <v/>
      </c>
      <c r="B1433" s="320">
        <f>'CIEP BRIZOLÃO 474 MAESTRO GUERR'!D15</f>
        <v/>
      </c>
    </row>
    <row r="1434" ht="15" customHeight="1" s="163">
      <c r="A1434" s="319">
        <f>'CIEP BRIZOLÃO 474 MAESTRO GUERR'!I16</f>
        <v/>
      </c>
      <c r="B1434" s="320">
        <f>'CIEP BRIZOLÃO 474 MAESTRO GUERR'!D16</f>
        <v/>
      </c>
    </row>
    <row r="1435" ht="15" customHeight="1" s="163">
      <c r="A1435" s="319">
        <f>'CIEP BRIZOLÃO 474 MAESTRO GUERR'!I17</f>
        <v/>
      </c>
      <c r="B1435" s="320">
        <f>'CIEP BRIZOLÃO 474 MAESTRO GUERR'!D17</f>
        <v/>
      </c>
    </row>
    <row r="1436" ht="15" customHeight="1" s="163">
      <c r="A1436" s="319">
        <f>'CIEP BRIZOLÃO 474 MAESTRO GUERR'!I18</f>
        <v/>
      </c>
      <c r="B1436" s="320">
        <f>'CIEP BRIZOLÃO 474 MAESTRO GUERR'!D18</f>
        <v/>
      </c>
    </row>
    <row r="1437" ht="15" customHeight="1" s="163">
      <c r="A1437" s="319">
        <f>'CIEP BRIZOLÃO 474 MAESTRO GUERR'!I19</f>
        <v/>
      </c>
      <c r="B1437" s="320">
        <f>'CIEP BRIZOLÃO 474 MAESTRO GUERR'!D19</f>
        <v/>
      </c>
    </row>
    <row r="1438" ht="15" customHeight="1" s="163">
      <c r="A1438" s="319">
        <f>'CIEP BRIZOLÃO 474 MAESTRO GUERR'!I20</f>
        <v/>
      </c>
      <c r="B1438" s="320">
        <f>'CIEP BRIZOLÃO 474 MAESTRO GUERR'!D20</f>
        <v/>
      </c>
    </row>
    <row r="1439" ht="15" customHeight="1" s="163">
      <c r="A1439" s="319">
        <f>'CIEP BRIZOLÃO 474 MAESTRO GUERR'!I21</f>
        <v/>
      </c>
      <c r="B1439" s="320">
        <f>'CIEP BRIZOLÃO 474 MAESTRO GUERR'!D21</f>
        <v/>
      </c>
    </row>
    <row r="1440" ht="15" customHeight="1" s="163">
      <c r="A1440" s="319">
        <f>'CIEP BRIZOLÃO 474 MAESTRO GUERR'!I22</f>
        <v/>
      </c>
      <c r="B1440" s="320">
        <f>'CIEP BRIZOLÃO 474 MAESTRO GUERR'!D22</f>
        <v/>
      </c>
    </row>
    <row r="1441" ht="15" customHeight="1" s="163">
      <c r="A1441" s="319">
        <f>'CIEP BRIZOLÃO 474 MAESTRO GUERR'!I23</f>
        <v/>
      </c>
      <c r="B1441" s="320">
        <f>'CIEP BRIZOLÃO 474 MAESTRO GUERR'!D23</f>
        <v/>
      </c>
    </row>
    <row r="1442" ht="15" customHeight="1" s="163">
      <c r="A1442" s="319">
        <f>'CIEP BRIZOLÃO 474 MAESTRO GUERR'!I24</f>
        <v/>
      </c>
      <c r="B1442" s="320">
        <f>'CIEP BRIZOLÃO 474 MAESTRO GUERR'!D24</f>
        <v/>
      </c>
    </row>
    <row r="1443" ht="15" customHeight="1" s="163">
      <c r="A1443" s="319">
        <f>'CIEP BRIZOLÃO 474 MAESTRO GUERR'!I25</f>
        <v/>
      </c>
      <c r="B1443" s="320">
        <f>'CIEP BRIZOLÃO 474 MAESTRO GUERR'!D25</f>
        <v/>
      </c>
    </row>
    <row r="1444" ht="15" customHeight="1" s="163">
      <c r="A1444" s="319">
        <f>'CIEP BRIZOLÃO 474 MAESTRO GUERR'!I26</f>
        <v/>
      </c>
      <c r="B1444" s="320">
        <f>'CIEP BRIZOLÃO 474 MAESTRO GUERR'!D26</f>
        <v/>
      </c>
    </row>
    <row r="1445" ht="15" customHeight="1" s="163">
      <c r="A1445" s="319">
        <f>'CIEP BRIZOLÃO 474 MAESTRO GUERR'!I27</f>
        <v/>
      </c>
      <c r="B1445" s="320">
        <f>'CIEP BRIZOLÃO 474 MAESTRO GUERR'!D27</f>
        <v/>
      </c>
    </row>
    <row r="1446" ht="15" customHeight="1" s="163">
      <c r="A1446" s="319">
        <f>'CENTRO DE ENSINO PROF DARCY RIB'!I9</f>
        <v/>
      </c>
      <c r="B1446" s="320">
        <f>'CENTRO DE ENSINO PROF DARCY RIB'!D9</f>
        <v/>
      </c>
    </row>
    <row r="1447" ht="15" customHeight="1" s="163">
      <c r="A1447" s="319">
        <f>'CENTRO DE ENSINO PROF DARCY RIB'!I10</f>
        <v/>
      </c>
      <c r="B1447" s="320">
        <f>'CENTRO DE ENSINO PROF DARCY RIB'!D10</f>
        <v/>
      </c>
    </row>
    <row r="1448" ht="15" customHeight="1" s="163">
      <c r="A1448" s="319">
        <f>'CENTRO DE ENSINO PROF DARCY RIB'!I11</f>
        <v/>
      </c>
      <c r="B1448" s="320">
        <f>'CENTRO DE ENSINO PROF DARCY RIB'!D11</f>
        <v/>
      </c>
    </row>
    <row r="1449" ht="15" customHeight="1" s="163">
      <c r="A1449" s="319">
        <f>'CENTRO DE ENSINO PROF DARCY RIB'!I12</f>
        <v/>
      </c>
      <c r="B1449" s="320">
        <f>'CENTRO DE ENSINO PROF DARCY RIB'!D12</f>
        <v/>
      </c>
    </row>
    <row r="1450" ht="15" customHeight="1" s="163">
      <c r="A1450" s="319">
        <f>'CENTRO DE ENSINO PROF DARCY RIB'!I13</f>
        <v/>
      </c>
      <c r="B1450" s="320">
        <f>'CENTRO DE ENSINO PROF DARCY RIB'!D13</f>
        <v/>
      </c>
    </row>
    <row r="1451" ht="15" customHeight="1" s="163">
      <c r="A1451" s="319">
        <f>'CENTRO DE ENSINO PROF DARCY RIB'!I14</f>
        <v/>
      </c>
      <c r="B1451" s="320">
        <f>'CENTRO DE ENSINO PROF DARCY RIB'!D14</f>
        <v/>
      </c>
    </row>
    <row r="1452" ht="15" customHeight="1" s="163">
      <c r="A1452" s="319">
        <f>'CENTRO DE ENSINO PROF DARCY RIB'!I15</f>
        <v/>
      </c>
      <c r="B1452" s="320">
        <f>'CENTRO DE ENSINO PROF DARCY RIB'!D15</f>
        <v/>
      </c>
    </row>
    <row r="1453" ht="15" customHeight="1" s="163">
      <c r="A1453" s="319">
        <f>'CENTRO DE ENSINO PROF DARCY RIB'!I16</f>
        <v/>
      </c>
      <c r="B1453" s="320">
        <f>'CENTRO DE ENSINO PROF DARCY RIB'!D16</f>
        <v/>
      </c>
    </row>
    <row r="1454" ht="15" customHeight="1" s="163">
      <c r="A1454" s="319">
        <f>'CENTRO DE ENSINO PROF DARCY RIB'!I17</f>
        <v/>
      </c>
      <c r="B1454" s="320">
        <f>'CENTRO DE ENSINO PROF DARCY RIB'!D17</f>
        <v/>
      </c>
    </row>
    <row r="1455" ht="15" customHeight="1" s="163">
      <c r="A1455" s="319">
        <f>'CENTRO DE ENSINO PROF DARCY RIB'!I18</f>
        <v/>
      </c>
      <c r="B1455" s="320">
        <f>'CENTRO DE ENSINO PROF DARCY RIB'!D18</f>
        <v/>
      </c>
    </row>
    <row r="1456" ht="15" customHeight="1" s="163">
      <c r="A1456" s="319">
        <f>'CENTRO DE ENSINO PROF DARCY RIB'!I19</f>
        <v/>
      </c>
      <c r="B1456" s="320">
        <f>'CENTRO DE ENSINO PROF DARCY RIB'!D19</f>
        <v/>
      </c>
    </row>
    <row r="1457" ht="15" customHeight="1" s="163">
      <c r="A1457" s="319">
        <f>'CENTRO DE ENSINO PROF DARCY RIB'!I20</f>
        <v/>
      </c>
      <c r="B1457" s="320">
        <f>'CENTRO DE ENSINO PROF DARCY RIB'!D20</f>
        <v/>
      </c>
    </row>
    <row r="1458" ht="15" customHeight="1" s="163">
      <c r="A1458" s="319">
        <f>'CENTRO DE ENSINO PROF DARCY RIB'!I21</f>
        <v/>
      </c>
      <c r="B1458" s="320">
        <f>'CENTRO DE ENSINO PROF DARCY RIB'!D21</f>
        <v/>
      </c>
    </row>
    <row r="1459" ht="15" customHeight="1" s="163">
      <c r="A1459" s="319">
        <f>'CENTRO DE ENSINO PROF DARCY RIB'!I22</f>
        <v/>
      </c>
      <c r="B1459" s="320">
        <f>'CENTRO DE ENSINO PROF DARCY RIB'!D22</f>
        <v/>
      </c>
    </row>
    <row r="1460" ht="15" customHeight="1" s="163">
      <c r="A1460" s="319">
        <f>'CENTRO DE ENSINO PROF DARCY RIB'!I23</f>
        <v/>
      </c>
      <c r="B1460" s="320">
        <f>'CENTRO DE ENSINO PROF DARCY RIB'!D23</f>
        <v/>
      </c>
    </row>
    <row r="1461" ht="15" customHeight="1" s="163">
      <c r="A1461" s="319">
        <f>'CENTRO DE ENSINO PROF DARCY RIB'!I24</f>
        <v/>
      </c>
      <c r="B1461" s="320">
        <f>'CENTRO DE ENSINO PROF DARCY RIB'!D24</f>
        <v/>
      </c>
    </row>
    <row r="1462" ht="15" customHeight="1" s="163">
      <c r="A1462" s="319">
        <f>'CENTRO DE ENSINO PROF DARCY RIB'!I25</f>
        <v/>
      </c>
      <c r="B1462" s="320">
        <f>'CENTRO DE ENSINO PROF DARCY RIB'!D25</f>
        <v/>
      </c>
    </row>
    <row r="1463" ht="15" customHeight="1" s="163">
      <c r="A1463" s="319">
        <f>'CENTRO DE ENSINO PROF DARCY RIB'!I26</f>
        <v/>
      </c>
      <c r="B1463" s="320">
        <f>'CENTRO DE ENSINO PROF DARCY RIB'!D26</f>
        <v/>
      </c>
    </row>
    <row r="1464" ht="15" customHeight="1" s="163">
      <c r="A1464" s="319">
        <f>'CENTRO DE ENSINO PROF DARCY RIB'!I27</f>
        <v/>
      </c>
      <c r="B1464" s="320">
        <f>'CENTRO DE ENSINO PROF DARCY RIB'!D27</f>
        <v/>
      </c>
    </row>
    <row r="1465" ht="15" customHeight="1" s="163">
      <c r="A1465" s="319">
        <f>'CASA DA EDUCAÇÃO VISCONDE DE MA'!I9</f>
        <v/>
      </c>
      <c r="B1465" s="320">
        <f>'CASA DA EDUCAÇÃO VISCONDE DE MA'!D9</f>
        <v/>
      </c>
    </row>
    <row r="1466" ht="15" customHeight="1" s="163">
      <c r="A1466" s="319">
        <f>'CASA DA EDUCAÇÃO VISCONDE DE MA'!I10</f>
        <v/>
      </c>
      <c r="B1466" s="320">
        <f>'CASA DA EDUCAÇÃO VISCONDE DE MA'!D10</f>
        <v/>
      </c>
    </row>
    <row r="1467" ht="15" customHeight="1" s="163">
      <c r="A1467" s="319">
        <f>'CASA DA EDUCAÇÃO VISCONDE DE MA'!I11</f>
        <v/>
      </c>
      <c r="B1467" s="320">
        <f>'CASA DA EDUCAÇÃO VISCONDE DE MA'!D11</f>
        <v/>
      </c>
    </row>
    <row r="1468" ht="15" customHeight="1" s="163">
      <c r="A1468" s="319">
        <f>'CASA DA EDUCAÇÃO VISCONDE DE MA'!I12</f>
        <v/>
      </c>
      <c r="B1468" s="320">
        <f>'CASA DA EDUCAÇÃO VISCONDE DE MA'!D12</f>
        <v/>
      </c>
    </row>
    <row r="1469" ht="15" customHeight="1" s="163">
      <c r="A1469" s="319">
        <f>'CASA DA EDUCAÇÃO VISCONDE DE MA'!I13</f>
        <v/>
      </c>
      <c r="B1469" s="320">
        <f>'CASA DA EDUCAÇÃO VISCONDE DE MA'!D13</f>
        <v/>
      </c>
    </row>
    <row r="1470" ht="15" customHeight="1" s="163">
      <c r="A1470" s="319">
        <f>'CASA DA EDUCAÇÃO VISCONDE DE MA'!I14</f>
        <v/>
      </c>
      <c r="B1470" s="320">
        <f>'CASA DA EDUCAÇÃO VISCONDE DE MA'!D14</f>
        <v/>
      </c>
    </row>
    <row r="1471" ht="15" customHeight="1" s="163">
      <c r="A1471" s="319">
        <f>'CASA DA EDUCAÇÃO VISCONDE DE MA'!I15</f>
        <v/>
      </c>
      <c r="B1471" s="320">
        <f>'CASA DA EDUCAÇÃO VISCONDE DE MA'!D15</f>
        <v/>
      </c>
    </row>
    <row r="1472" ht="15" customHeight="1" s="163">
      <c r="A1472" s="319">
        <f>'CASA DA EDUCAÇÃO VISCONDE DE MA'!I16</f>
        <v/>
      </c>
      <c r="B1472" s="320">
        <f>'CASA DA EDUCAÇÃO VISCONDE DE MA'!D16</f>
        <v/>
      </c>
    </row>
    <row r="1473" ht="15" customHeight="1" s="163">
      <c r="A1473" s="319">
        <f>'CASA DA EDUCAÇÃO VISCONDE DE MA'!I17</f>
        <v/>
      </c>
      <c r="B1473" s="320">
        <f>'CASA DA EDUCAÇÃO VISCONDE DE MA'!D17</f>
        <v/>
      </c>
    </row>
    <row r="1474" ht="15" customHeight="1" s="163">
      <c r="A1474" s="319">
        <f>'CASA DA EDUCAÇÃO VISCONDE DE MA'!I18</f>
        <v/>
      </c>
      <c r="B1474" s="320">
        <f>'CASA DA EDUCAÇÃO VISCONDE DE MA'!D18</f>
        <v/>
      </c>
    </row>
    <row r="1475" ht="15" customHeight="1" s="163">
      <c r="A1475" s="319">
        <f>'CASA DA EDUCAÇÃO VISCONDE DE MA'!I19</f>
        <v/>
      </c>
      <c r="B1475" s="320">
        <f>'CASA DA EDUCAÇÃO VISCONDE DE MA'!D19</f>
        <v/>
      </c>
    </row>
    <row r="1476" ht="15" customHeight="1" s="163">
      <c r="A1476" s="319">
        <f>'CASA DA EDUCAÇÃO VISCONDE DE MA'!I20</f>
        <v/>
      </c>
      <c r="B1476" s="320">
        <f>'CASA DA EDUCAÇÃO VISCONDE DE MA'!D20</f>
        <v/>
      </c>
    </row>
    <row r="1477" ht="15" customHeight="1" s="163">
      <c r="A1477" s="319">
        <f>'CASA DA EDUCAÇÃO VISCONDE DE MA'!I21</f>
        <v/>
      </c>
      <c r="B1477" s="320">
        <f>'CASA DA EDUCAÇÃO VISCONDE DE MA'!D21</f>
        <v/>
      </c>
    </row>
    <row r="1478" ht="15" customHeight="1" s="163">
      <c r="A1478" s="319">
        <f>'CASA DA EDUCAÇÃO VISCONDE DE MA'!I22</f>
        <v/>
      </c>
      <c r="B1478" s="320">
        <f>'CASA DA EDUCAÇÃO VISCONDE DE MA'!D22</f>
        <v/>
      </c>
    </row>
    <row r="1479" ht="15" customHeight="1" s="163">
      <c r="A1479" s="319">
        <f>'CASA DA EDUCAÇÃO VISCONDE DE MA'!I23</f>
        <v/>
      </c>
      <c r="B1479" s="320">
        <f>'CASA DA EDUCAÇÃO VISCONDE DE MA'!D23</f>
        <v/>
      </c>
    </row>
    <row r="1480" ht="15" customHeight="1" s="163">
      <c r="A1480" s="319">
        <f>'CASA DA EDUCAÇÃO VISCONDE DE MA'!I24</f>
        <v/>
      </c>
      <c r="B1480" s="320">
        <f>'CASA DA EDUCAÇÃO VISCONDE DE MA'!D24</f>
        <v/>
      </c>
    </row>
    <row r="1481" ht="15" customHeight="1" s="163">
      <c r="A1481" s="319">
        <f>'CASA DA EDUCAÇÃO VISCONDE DE MA'!I25</f>
        <v/>
      </c>
      <c r="B1481" s="320">
        <f>'CASA DA EDUCAÇÃO VISCONDE DE MA'!D25</f>
        <v/>
      </c>
    </row>
    <row r="1482" ht="15" customHeight="1" s="163">
      <c r="A1482" s="319">
        <f>'CASA DA EDUCAÇÃO VISCONDE DE MA'!I26</f>
        <v/>
      </c>
      <c r="B1482" s="320">
        <f>'CASA DA EDUCAÇÃO VISCONDE DE MA'!D26</f>
        <v/>
      </c>
    </row>
    <row r="1483" ht="15" customHeight="1" s="163">
      <c r="A1483" s="319">
        <f>'CASA DA EDUCAÇÃO VISCONDE DE MA'!I27</f>
        <v/>
      </c>
      <c r="B1483" s="320">
        <f>'CASA DA EDUCAÇÃO VISCONDE DE MA'!D27</f>
        <v/>
      </c>
    </row>
    <row r="1484" ht="15" customHeight="1" s="163">
      <c r="A1484" s="319">
        <f>'CENTRO DE REFERÊNCIA EM EDUCAÇÃ'!I9</f>
        <v/>
      </c>
      <c r="B1484" s="320">
        <f>'CENTRO DE REFERÊNCIA EM EDUCAÇÃ'!D9</f>
        <v/>
      </c>
    </row>
    <row r="1485" ht="15" customHeight="1" s="163">
      <c r="A1485" s="319">
        <f>'CENTRO DE REFERÊNCIA EM EDUCAÇÃ'!I10</f>
        <v/>
      </c>
      <c r="B1485" s="320">
        <f>'CENTRO DE REFERÊNCIA EM EDUCAÇÃ'!D10</f>
        <v/>
      </c>
    </row>
    <row r="1486" ht="15" customHeight="1" s="163">
      <c r="A1486" s="319">
        <f>'CENTRO DE REFERÊNCIA EM EDUCAÇÃ'!I11</f>
        <v/>
      </c>
      <c r="B1486" s="320">
        <f>'CENTRO DE REFERÊNCIA EM EDUCAÇÃ'!D11</f>
        <v/>
      </c>
    </row>
    <row r="1487" ht="15" customHeight="1" s="163">
      <c r="A1487" s="319">
        <f>'CENTRO DE REFERÊNCIA EM EDUCAÇÃ'!I12</f>
        <v/>
      </c>
      <c r="B1487" s="320">
        <f>'CENTRO DE REFERÊNCIA EM EDUCAÇÃ'!D12</f>
        <v/>
      </c>
    </row>
    <row r="1488" ht="15" customHeight="1" s="163">
      <c r="A1488" s="319">
        <f>'CENTRO DE REFERÊNCIA EM EDUCAÇÃ'!I13</f>
        <v/>
      </c>
      <c r="B1488" s="320">
        <f>'CENTRO DE REFERÊNCIA EM EDUCAÇÃ'!D13</f>
        <v/>
      </c>
    </row>
    <row r="1489" ht="15" customHeight="1" s="163">
      <c r="A1489" s="319">
        <f>'CENTRO DE REFERÊNCIA EM EDUCAÇÃ'!I14</f>
        <v/>
      </c>
      <c r="B1489" s="320">
        <f>'CENTRO DE REFERÊNCIA EM EDUCAÇÃ'!D14</f>
        <v/>
      </c>
    </row>
    <row r="1490" ht="15" customHeight="1" s="163">
      <c r="A1490" s="319">
        <f>'CENTRO DE REFERÊNCIA EM EDUCAÇÃ'!I15</f>
        <v/>
      </c>
      <c r="B1490" s="320">
        <f>'CENTRO DE REFERÊNCIA EM EDUCAÇÃ'!D15</f>
        <v/>
      </c>
    </row>
    <row r="1491" ht="15" customHeight="1" s="163">
      <c r="A1491" s="319">
        <f>'CENTRO DE REFERÊNCIA EM EDUCAÇÃ'!I16</f>
        <v/>
      </c>
      <c r="B1491" s="320">
        <f>'CENTRO DE REFERÊNCIA EM EDUCAÇÃ'!D16</f>
        <v/>
      </c>
    </row>
    <row r="1492" ht="15" customHeight="1" s="163">
      <c r="A1492" s="319">
        <f>'CENTRO DE REFERÊNCIA EM EDUCAÇÃ'!I17</f>
        <v/>
      </c>
      <c r="B1492" s="320">
        <f>'CENTRO DE REFERÊNCIA EM EDUCAÇÃ'!D17</f>
        <v/>
      </c>
    </row>
    <row r="1493" ht="15" customHeight="1" s="163">
      <c r="A1493" s="319">
        <f>'CENTRO DE REFERÊNCIA EM EDUCAÇÃ'!I18</f>
        <v/>
      </c>
      <c r="B1493" s="320">
        <f>'CENTRO DE REFERÊNCIA EM EDUCAÇÃ'!D18</f>
        <v/>
      </c>
    </row>
    <row r="1494" ht="15" customHeight="1" s="163">
      <c r="A1494" s="319">
        <f>'CENTRO DE REFERÊNCIA EM EDUCAÇÃ'!I19</f>
        <v/>
      </c>
      <c r="B1494" s="320">
        <f>'CENTRO DE REFERÊNCIA EM EDUCAÇÃ'!D19</f>
        <v/>
      </c>
    </row>
    <row r="1495" ht="15" customHeight="1" s="163">
      <c r="A1495" s="319">
        <f>'CENTRO DE REFERÊNCIA EM EDUCAÇÃ'!I20</f>
        <v/>
      </c>
      <c r="B1495" s="320">
        <f>'CENTRO DE REFERÊNCIA EM EDUCAÇÃ'!D20</f>
        <v/>
      </c>
    </row>
    <row r="1496" ht="15" customHeight="1" s="163">
      <c r="A1496" s="319">
        <f>'CENTRO DE REFERÊNCIA EM EDUCAÇÃ'!I21</f>
        <v/>
      </c>
      <c r="B1496" s="320">
        <f>'CENTRO DE REFERÊNCIA EM EDUCAÇÃ'!D21</f>
        <v/>
      </c>
    </row>
    <row r="1497" ht="15" customHeight="1" s="163">
      <c r="A1497" s="319">
        <f>'CENTRO DE REFERÊNCIA EM EDUCAÇÃ'!I22</f>
        <v/>
      </c>
      <c r="B1497" s="320">
        <f>'CENTRO DE REFERÊNCIA EM EDUCAÇÃ'!D22</f>
        <v/>
      </c>
    </row>
    <row r="1498" ht="15" customHeight="1" s="163">
      <c r="A1498" s="319">
        <f>'CENTRO DE REFERÊNCIA EM EDUCAÇÃ'!I23</f>
        <v/>
      </c>
      <c r="B1498" s="320">
        <f>'CENTRO DE REFERÊNCIA EM EDUCAÇÃ'!D23</f>
        <v/>
      </c>
    </row>
    <row r="1499" ht="15" customHeight="1" s="163">
      <c r="A1499" s="319">
        <f>'CENTRO DE REFERÊNCIA EM EDUCAÇÃ'!I24</f>
        <v/>
      </c>
      <c r="B1499" s="320">
        <f>'CENTRO DE REFERÊNCIA EM EDUCAÇÃ'!D24</f>
        <v/>
      </c>
    </row>
    <row r="1500" ht="15" customHeight="1" s="163">
      <c r="A1500" s="319">
        <f>'CENTRO DE REFERÊNCIA EM EDUCAÇÃ'!I25</f>
        <v/>
      </c>
      <c r="B1500" s="320">
        <f>'CENTRO DE REFERÊNCIA EM EDUCAÇÃ'!D25</f>
        <v/>
      </c>
    </row>
    <row r="1501" ht="15" customHeight="1" s="163">
      <c r="A1501" s="319">
        <f>'CENTRO DE REFERÊNCIA EM EDUCAÇÃ'!I26</f>
        <v/>
      </c>
      <c r="B1501" s="320">
        <f>'CENTRO DE REFERÊNCIA EM EDUCAÇÃ'!D26</f>
        <v/>
      </c>
    </row>
    <row r="1502" ht="15" customHeight="1" s="163">
      <c r="A1502" s="319">
        <f>'CENTRO DE REFERÊNCIA EM EDUCAÇÃ'!I27</f>
        <v/>
      </c>
      <c r="B1502" s="320">
        <f>'CENTRO DE REFERÊNCIA EM EDUCAÇÃ'!D27</f>
        <v/>
      </c>
    </row>
    <row r="1503" ht="15" customHeight="1" s="163">
      <c r="A1503" s="319">
        <f>'E M PROF NILTON COSTA PEREIRA D'!I9</f>
        <v/>
      </c>
      <c r="B1503" s="320">
        <f>'E M PROF NILTON COSTA PEREIRA D'!D9</f>
        <v/>
      </c>
    </row>
    <row r="1504" ht="15" customHeight="1" s="163">
      <c r="A1504" s="319">
        <f>'E M PROF NILTON COSTA PEREIRA D'!I10</f>
        <v/>
      </c>
      <c r="B1504" s="320">
        <f>'E M PROF NILTON COSTA PEREIRA D'!D10</f>
        <v/>
      </c>
    </row>
    <row r="1505" ht="15" customHeight="1" s="163">
      <c r="A1505" s="319">
        <f>'E M PROF NILTON COSTA PEREIRA D'!I11</f>
        <v/>
      </c>
      <c r="B1505" s="320">
        <f>'E M PROF NILTON COSTA PEREIRA D'!D11</f>
        <v/>
      </c>
    </row>
    <row r="1506" ht="15" customHeight="1" s="163">
      <c r="A1506" s="319">
        <f>'E M PROF NILTON COSTA PEREIRA D'!I12</f>
        <v/>
      </c>
      <c r="B1506" s="320">
        <f>'E M PROF NILTON COSTA PEREIRA D'!D12</f>
        <v/>
      </c>
    </row>
    <row r="1507" ht="15" customHeight="1" s="163">
      <c r="A1507" s="319">
        <f>'E M PROF NILTON COSTA PEREIRA D'!I13</f>
        <v/>
      </c>
      <c r="B1507" s="320">
        <f>'E M PROF NILTON COSTA PEREIRA D'!D13</f>
        <v/>
      </c>
    </row>
    <row r="1508" ht="15" customHeight="1" s="163">
      <c r="A1508" s="319">
        <f>'E M PROF NILTON COSTA PEREIRA D'!I14</f>
        <v/>
      </c>
      <c r="B1508" s="320">
        <f>'E M PROF NILTON COSTA PEREIRA D'!D14</f>
        <v/>
      </c>
    </row>
    <row r="1509" ht="15" customHeight="1" s="163">
      <c r="A1509" s="319">
        <f>'E M PROF NILTON COSTA PEREIRA D'!I15</f>
        <v/>
      </c>
      <c r="B1509" s="320">
        <f>'E M PROF NILTON COSTA PEREIRA D'!D15</f>
        <v/>
      </c>
    </row>
    <row r="1510" ht="15" customHeight="1" s="163">
      <c r="A1510" s="319">
        <f>'E M PROF NILTON COSTA PEREIRA D'!I16</f>
        <v/>
      </c>
      <c r="B1510" s="320">
        <f>'E M PROF NILTON COSTA PEREIRA D'!D16</f>
        <v/>
      </c>
    </row>
    <row r="1511" ht="15" customHeight="1" s="163">
      <c r="A1511" s="319">
        <f>'E M PROF NILTON COSTA PEREIRA D'!I17</f>
        <v/>
      </c>
      <c r="B1511" s="320">
        <f>'E M PROF NILTON COSTA PEREIRA D'!D17</f>
        <v/>
      </c>
    </row>
    <row r="1512" ht="15" customHeight="1" s="163">
      <c r="A1512" s="319">
        <f>'E M PROF NILTON COSTA PEREIRA D'!I18</f>
        <v/>
      </c>
      <c r="B1512" s="320">
        <f>'E M PROF NILTON COSTA PEREIRA D'!D18</f>
        <v/>
      </c>
    </row>
    <row r="1513" ht="15" customHeight="1" s="163">
      <c r="A1513" s="319">
        <f>'E M PROF NILTON COSTA PEREIRA D'!I19</f>
        <v/>
      </c>
      <c r="B1513" s="320">
        <f>'E M PROF NILTON COSTA PEREIRA D'!D19</f>
        <v/>
      </c>
    </row>
    <row r="1514" ht="15" customHeight="1" s="163">
      <c r="A1514" s="319">
        <f>'E M PROF NILTON COSTA PEREIRA D'!I20</f>
        <v/>
      </c>
      <c r="B1514" s="320">
        <f>'E M PROF NILTON COSTA PEREIRA D'!D20</f>
        <v/>
      </c>
    </row>
    <row r="1515" ht="15" customHeight="1" s="163">
      <c r="A1515" s="319">
        <f>'E M PROF NILTON COSTA PEREIRA D'!I21</f>
        <v/>
      </c>
      <c r="B1515" s="320">
        <f>'E M PROF NILTON COSTA PEREIRA D'!D21</f>
        <v/>
      </c>
    </row>
    <row r="1516" ht="15" customHeight="1" s="163">
      <c r="A1516" s="319">
        <f>'E M PROF NILTON COSTA PEREIRA D'!I22</f>
        <v/>
      </c>
      <c r="B1516" s="320">
        <f>'E M PROF NILTON COSTA PEREIRA D'!D22</f>
        <v/>
      </c>
    </row>
    <row r="1517" ht="15" customHeight="1" s="163">
      <c r="A1517" s="319">
        <f>'E M PROF NILTON COSTA PEREIRA D'!I23</f>
        <v/>
      </c>
      <c r="B1517" s="320">
        <f>'E M PROF NILTON COSTA PEREIRA D'!D23</f>
        <v/>
      </c>
    </row>
    <row r="1518" ht="15" customHeight="1" s="163">
      <c r="A1518" s="319">
        <f>'E M PROF NILTON COSTA PEREIRA D'!I24</f>
        <v/>
      </c>
      <c r="B1518" s="320">
        <f>'E M PROF NILTON COSTA PEREIRA D'!D24</f>
        <v/>
      </c>
    </row>
    <row r="1519" ht="15" customHeight="1" s="163">
      <c r="A1519" s="319">
        <f>'E M PROF NILTON COSTA PEREIRA D'!I25</f>
        <v/>
      </c>
      <c r="B1519" s="320">
        <f>'E M PROF NILTON COSTA PEREIRA D'!D25</f>
        <v/>
      </c>
    </row>
    <row r="1520" ht="15" customHeight="1" s="163">
      <c r="A1520" s="319">
        <f>'E M PROF NILTON COSTA PEREIRA D'!I26</f>
        <v/>
      </c>
      <c r="B1520" s="320">
        <f>'E M PROF NILTON COSTA PEREIRA D'!D26</f>
        <v/>
      </c>
    </row>
    <row r="1521" ht="15" customHeight="1" s="163">
      <c r="A1521" s="319">
        <f>'E M PROF NILTON COSTA PEREIRA D'!I27</f>
        <v/>
      </c>
      <c r="B1521" s="320">
        <f>'E M PROF NILTON COSTA PEREIRA D'!D27</f>
        <v/>
      </c>
    </row>
    <row r="1522" ht="15" customHeight="1" s="163">
      <c r="A1522" s="319">
        <f>'COLÉGIO GUNNAR VINGREN DE PETRÓ'!I9</f>
        <v/>
      </c>
      <c r="B1522" s="320">
        <f>'COLÉGIO GUNNAR VINGREN DE PETRÓ'!D9</f>
        <v/>
      </c>
    </row>
    <row r="1523" ht="15" customHeight="1" s="163">
      <c r="A1523" s="319">
        <f>'COLÉGIO GUNNAR VINGREN DE PETRÓ'!I10</f>
        <v/>
      </c>
      <c r="B1523" s="320">
        <f>'COLÉGIO GUNNAR VINGREN DE PETRÓ'!D10</f>
        <v/>
      </c>
    </row>
    <row r="1524" ht="15" customHeight="1" s="163">
      <c r="A1524" s="319">
        <f>'COLÉGIO GUNNAR VINGREN DE PETRÓ'!I11</f>
        <v/>
      </c>
      <c r="B1524" s="320">
        <f>'COLÉGIO GUNNAR VINGREN DE PETRÓ'!D11</f>
        <v/>
      </c>
    </row>
    <row r="1525" ht="15" customHeight="1" s="163">
      <c r="A1525" s="319">
        <f>'COLÉGIO GUNNAR VINGREN DE PETRÓ'!I12</f>
        <v/>
      </c>
      <c r="B1525" s="320">
        <f>'COLÉGIO GUNNAR VINGREN DE PETRÓ'!D12</f>
        <v/>
      </c>
    </row>
    <row r="1526" ht="15" customHeight="1" s="163">
      <c r="A1526" s="319">
        <f>'COLÉGIO GUNNAR VINGREN DE PETRÓ'!I13</f>
        <v/>
      </c>
      <c r="B1526" s="320">
        <f>'COLÉGIO GUNNAR VINGREN DE PETRÓ'!D13</f>
        <v/>
      </c>
    </row>
    <row r="1527" ht="15" customHeight="1" s="163">
      <c r="A1527" s="319">
        <f>'COLÉGIO GUNNAR VINGREN DE PETRÓ'!I14</f>
        <v/>
      </c>
      <c r="B1527" s="320">
        <f>'COLÉGIO GUNNAR VINGREN DE PETRÓ'!D14</f>
        <v/>
      </c>
    </row>
    <row r="1528" ht="15" customHeight="1" s="163">
      <c r="A1528" s="319">
        <f>'COLÉGIO GUNNAR VINGREN DE PETRÓ'!I15</f>
        <v/>
      </c>
      <c r="B1528" s="320">
        <f>'COLÉGIO GUNNAR VINGREN DE PETRÓ'!D15</f>
        <v/>
      </c>
    </row>
    <row r="1529" ht="15" customHeight="1" s="163">
      <c r="A1529" s="319">
        <f>'COLÉGIO GUNNAR VINGREN DE PETRÓ'!I16</f>
        <v/>
      </c>
      <c r="B1529" s="320">
        <f>'COLÉGIO GUNNAR VINGREN DE PETRÓ'!D16</f>
        <v/>
      </c>
    </row>
    <row r="1530" ht="15" customHeight="1" s="163">
      <c r="A1530" s="319">
        <f>'COLÉGIO GUNNAR VINGREN DE PETRÓ'!I17</f>
        <v/>
      </c>
      <c r="B1530" s="320">
        <f>'COLÉGIO GUNNAR VINGREN DE PETRÓ'!D17</f>
        <v/>
      </c>
    </row>
    <row r="1531" ht="15" customHeight="1" s="163">
      <c r="A1531" s="319">
        <f>'COLÉGIO GUNNAR VINGREN DE PETRÓ'!I18</f>
        <v/>
      </c>
      <c r="B1531" s="320">
        <f>'COLÉGIO GUNNAR VINGREN DE PETRÓ'!D18</f>
        <v/>
      </c>
    </row>
    <row r="1532" ht="15" customHeight="1" s="163">
      <c r="A1532" s="319">
        <f>'COLÉGIO GUNNAR VINGREN DE PETRÓ'!I19</f>
        <v/>
      </c>
      <c r="B1532" s="320">
        <f>'COLÉGIO GUNNAR VINGREN DE PETRÓ'!D19</f>
        <v/>
      </c>
    </row>
    <row r="1533" ht="15" customHeight="1" s="163">
      <c r="A1533" s="319">
        <f>'COLÉGIO GUNNAR VINGREN DE PETRÓ'!I20</f>
        <v/>
      </c>
      <c r="B1533" s="320">
        <f>'COLÉGIO GUNNAR VINGREN DE PETRÓ'!D20</f>
        <v/>
      </c>
    </row>
    <row r="1534" ht="15" customHeight="1" s="163">
      <c r="A1534" s="319">
        <f>'COLÉGIO GUNNAR VINGREN DE PETRÓ'!I21</f>
        <v/>
      </c>
      <c r="B1534" s="320">
        <f>'COLÉGIO GUNNAR VINGREN DE PETRÓ'!D21</f>
        <v/>
      </c>
    </row>
    <row r="1535" ht="15" customHeight="1" s="163">
      <c r="A1535" s="319">
        <f>'COLÉGIO GUNNAR VINGREN DE PETRÓ'!I22</f>
        <v/>
      </c>
      <c r="B1535" s="320">
        <f>'COLÉGIO GUNNAR VINGREN DE PETRÓ'!D22</f>
        <v/>
      </c>
    </row>
    <row r="1536" ht="15" customHeight="1" s="163">
      <c r="A1536" s="319">
        <f>'COLÉGIO GUNNAR VINGREN DE PETRÓ'!I23</f>
        <v/>
      </c>
      <c r="B1536" s="320">
        <f>'COLÉGIO GUNNAR VINGREN DE PETRÓ'!D23</f>
        <v/>
      </c>
    </row>
    <row r="1537" ht="15" customHeight="1" s="163">
      <c r="A1537" s="319">
        <f>'COLÉGIO GUNNAR VINGREN DE PETRÓ'!I24</f>
        <v/>
      </c>
      <c r="B1537" s="320">
        <f>'COLÉGIO GUNNAR VINGREN DE PETRÓ'!D24</f>
        <v/>
      </c>
    </row>
    <row r="1538" ht="15" customHeight="1" s="163">
      <c r="A1538" s="319">
        <f>'COLÉGIO GUNNAR VINGREN DE PETRÓ'!I25</f>
        <v/>
      </c>
      <c r="B1538" s="320">
        <f>'COLÉGIO GUNNAR VINGREN DE PETRÓ'!D25</f>
        <v/>
      </c>
    </row>
    <row r="1539" ht="15" customHeight="1" s="163">
      <c r="A1539" s="319">
        <f>'COLÉGIO GUNNAR VINGREN DE PETRÓ'!I26</f>
        <v/>
      </c>
      <c r="B1539" s="320">
        <f>'COLÉGIO GUNNAR VINGREN DE PETRÓ'!D26</f>
        <v/>
      </c>
    </row>
    <row r="1540" ht="15" customHeight="1" s="163">
      <c r="A1540" s="319">
        <f>'COLÉGIO GUNNAR VINGREN DE PETRÓ'!I27</f>
        <v/>
      </c>
      <c r="B1540" s="320">
        <f>'COLÉGIO GUNNAR VINGREN DE PETRÓ'!D27</f>
        <v/>
      </c>
    </row>
    <row r="1541" ht="15" customHeight="1" s="163">
      <c r="A1541" s="319">
        <f>'CENTRO DE REFERÊNCIA EM EDUC 2'!I9</f>
        <v/>
      </c>
      <c r="B1541" s="320">
        <f>'CENTRO DE REFERÊNCIA EM EDUC 2'!D9</f>
        <v/>
      </c>
    </row>
    <row r="1542" ht="15" customHeight="1" s="163">
      <c r="A1542" s="319">
        <f>'CENTRO DE REFERÊNCIA EM EDUC 2'!I10</f>
        <v/>
      </c>
      <c r="B1542" s="320">
        <f>'CENTRO DE REFERÊNCIA EM EDUC 2'!D10</f>
        <v/>
      </c>
    </row>
    <row r="1543" ht="15" customHeight="1" s="163">
      <c r="A1543" s="319">
        <f>'CENTRO DE REFERÊNCIA EM EDUC 2'!I11</f>
        <v/>
      </c>
      <c r="B1543" s="320">
        <f>'CENTRO DE REFERÊNCIA EM EDUC 2'!D11</f>
        <v/>
      </c>
    </row>
    <row r="1544" ht="15" customHeight="1" s="163">
      <c r="A1544" s="319">
        <f>'CENTRO DE REFERÊNCIA EM EDUC 2'!I12</f>
        <v/>
      </c>
      <c r="B1544" s="320">
        <f>'CENTRO DE REFERÊNCIA EM EDUC 2'!D12</f>
        <v/>
      </c>
    </row>
    <row r="1545" ht="15" customHeight="1" s="163">
      <c r="A1545" s="319">
        <f>'CENTRO DE REFERÊNCIA EM EDUC 2'!I13</f>
        <v/>
      </c>
      <c r="B1545" s="320">
        <f>'CENTRO DE REFERÊNCIA EM EDUC 2'!D13</f>
        <v/>
      </c>
    </row>
    <row r="1546" ht="15" customHeight="1" s="163">
      <c r="A1546" s="319">
        <f>'CENTRO DE REFERÊNCIA EM EDUC 2'!I14</f>
        <v/>
      </c>
      <c r="B1546" s="320">
        <f>'CENTRO DE REFERÊNCIA EM EDUC 2'!D14</f>
        <v/>
      </c>
    </row>
    <row r="1547" ht="15" customHeight="1" s="163">
      <c r="A1547" s="319">
        <f>'CENTRO DE REFERÊNCIA EM EDUC 2'!I15</f>
        <v/>
      </c>
      <c r="B1547" s="320">
        <f>'CENTRO DE REFERÊNCIA EM EDUC 2'!D15</f>
        <v/>
      </c>
    </row>
    <row r="1548" ht="15" customHeight="1" s="163">
      <c r="A1548" s="319">
        <f>'CENTRO DE REFERÊNCIA EM EDUC 2'!I16</f>
        <v/>
      </c>
      <c r="B1548" s="320">
        <f>'CENTRO DE REFERÊNCIA EM EDUC 2'!D16</f>
        <v/>
      </c>
    </row>
    <row r="1549" ht="15" customHeight="1" s="163">
      <c r="A1549" s="319">
        <f>'CENTRO DE REFERÊNCIA EM EDUC 2'!I17</f>
        <v/>
      </c>
      <c r="B1549" s="320">
        <f>'CENTRO DE REFERÊNCIA EM EDUC 2'!D17</f>
        <v/>
      </c>
    </row>
    <row r="1550" ht="15" customHeight="1" s="163">
      <c r="A1550" s="319">
        <f>'CENTRO DE REFERÊNCIA EM EDUC 2'!I18</f>
        <v/>
      </c>
      <c r="B1550" s="320">
        <f>'CENTRO DE REFERÊNCIA EM EDUC 2'!D18</f>
        <v/>
      </c>
    </row>
    <row r="1551" ht="15" customHeight="1" s="163">
      <c r="A1551" s="319">
        <f>'CENTRO DE REFERÊNCIA EM EDUC 2'!I19</f>
        <v/>
      </c>
      <c r="B1551" s="320">
        <f>'CENTRO DE REFERÊNCIA EM EDUC 2'!D19</f>
        <v/>
      </c>
    </row>
    <row r="1552" ht="15" customHeight="1" s="163">
      <c r="A1552" s="319">
        <f>'CENTRO DE REFERÊNCIA EM EDUC 2'!I20</f>
        <v/>
      </c>
      <c r="B1552" s="320">
        <f>'CENTRO DE REFERÊNCIA EM EDUC 2'!D20</f>
        <v/>
      </c>
    </row>
    <row r="1553" ht="15" customHeight="1" s="163">
      <c r="A1553" s="319">
        <f>'CENTRO DE REFERÊNCIA EM EDUC 2'!I21</f>
        <v/>
      </c>
      <c r="B1553" s="320">
        <f>'CENTRO DE REFERÊNCIA EM EDUC 2'!D21</f>
        <v/>
      </c>
    </row>
    <row r="1554" ht="15" customHeight="1" s="163">
      <c r="A1554" s="319">
        <f>'CENTRO DE REFERÊNCIA EM EDUC 2'!I22</f>
        <v/>
      </c>
      <c r="B1554" s="320">
        <f>'CENTRO DE REFERÊNCIA EM EDUC 2'!D22</f>
        <v/>
      </c>
    </row>
    <row r="1555" ht="15" customHeight="1" s="163">
      <c r="A1555" s="319">
        <f>'CENTRO DE REFERÊNCIA EM EDUC 2'!I23</f>
        <v/>
      </c>
      <c r="B1555" s="320">
        <f>'CENTRO DE REFERÊNCIA EM EDUC 2'!D23</f>
        <v/>
      </c>
    </row>
    <row r="1556" ht="15" customHeight="1" s="163">
      <c r="A1556" s="319">
        <f>'CENTRO DE REFERÊNCIA EM EDUC 2'!I24</f>
        <v/>
      </c>
      <c r="B1556" s="320">
        <f>'CENTRO DE REFERÊNCIA EM EDUC 2'!D24</f>
        <v/>
      </c>
    </row>
    <row r="1557" ht="15" customHeight="1" s="163">
      <c r="A1557" s="319">
        <f>'CENTRO DE REFERÊNCIA EM EDUC 2'!I25</f>
        <v/>
      </c>
      <c r="B1557" s="320">
        <f>'CENTRO DE REFERÊNCIA EM EDUC 2'!D25</f>
        <v/>
      </c>
    </row>
    <row r="1558" ht="15" customHeight="1" s="163">
      <c r="A1558" s="319">
        <f>'CENTRO DE REFERÊNCIA EM EDUC 2'!I26</f>
        <v/>
      </c>
      <c r="B1558" s="320">
        <f>'CENTRO DE REFERÊNCIA EM EDUC 2'!D26</f>
        <v/>
      </c>
    </row>
    <row r="1559" ht="15" customHeight="1" s="163">
      <c r="A1559" s="319">
        <f>'CENTRO DE REFERÊNCIA EM EDUC 2'!I27</f>
        <v/>
      </c>
      <c r="B1559" s="320">
        <f>'CENTRO DE REFERÊNCIA EM EDUC 2'!D27</f>
        <v/>
      </c>
    </row>
    <row r="1560" ht="15" customHeight="1" s="163">
      <c r="A1560" s="319">
        <f>'ESCOLA SANTA LUIZA DE MARILLAC'!I9</f>
        <v/>
      </c>
      <c r="B1560" s="320">
        <f>'ESCOLA SANTA LUIZA DE MARILLAC'!D9</f>
        <v/>
      </c>
    </row>
    <row r="1561" ht="15" customHeight="1" s="163">
      <c r="A1561" s="319">
        <f>'ESCOLA SANTA LUIZA DE MARILLAC'!I10</f>
        <v/>
      </c>
      <c r="B1561" s="320">
        <f>'ESCOLA SANTA LUIZA DE MARILLAC'!D10</f>
        <v/>
      </c>
    </row>
    <row r="1562" ht="15" customHeight="1" s="163">
      <c r="A1562" s="319">
        <f>'ESCOLA SANTA LUIZA DE MARILLAC'!I11</f>
        <v/>
      </c>
      <c r="B1562" s="320">
        <f>'ESCOLA SANTA LUIZA DE MARILLAC'!D11</f>
        <v/>
      </c>
    </row>
    <row r="1563" ht="15" customHeight="1" s="163">
      <c r="A1563" s="319">
        <f>'ESCOLA SANTA LUIZA DE MARILLAC'!I12</f>
        <v/>
      </c>
      <c r="B1563" s="320">
        <f>'ESCOLA SANTA LUIZA DE MARILLAC'!D12</f>
        <v/>
      </c>
    </row>
    <row r="1564" ht="15" customHeight="1" s="163">
      <c r="A1564" s="319">
        <f>'ESCOLA SANTA LUIZA DE MARILLAC'!I13</f>
        <v/>
      </c>
      <c r="B1564" s="320">
        <f>'ESCOLA SANTA LUIZA DE MARILLAC'!D13</f>
        <v/>
      </c>
    </row>
    <row r="1565" ht="15" customHeight="1" s="163">
      <c r="A1565" s="319">
        <f>'ESCOLA SANTA LUIZA DE MARILLAC'!I14</f>
        <v/>
      </c>
      <c r="B1565" s="320">
        <f>'ESCOLA SANTA LUIZA DE MARILLAC'!D14</f>
        <v/>
      </c>
    </row>
    <row r="1566" ht="15" customHeight="1" s="163">
      <c r="A1566" s="319">
        <f>'ESCOLA SANTA LUIZA DE MARILLAC'!I15</f>
        <v/>
      </c>
      <c r="B1566" s="320">
        <f>'ESCOLA SANTA LUIZA DE MARILLAC'!D15</f>
        <v/>
      </c>
    </row>
    <row r="1567" ht="15" customHeight="1" s="163">
      <c r="A1567" s="319">
        <f>'ESCOLA SANTA LUIZA DE MARILLAC'!I16</f>
        <v/>
      </c>
      <c r="B1567" s="320">
        <f>'ESCOLA SANTA LUIZA DE MARILLAC'!D16</f>
        <v/>
      </c>
    </row>
    <row r="1568" ht="15" customHeight="1" s="163">
      <c r="A1568" s="319">
        <f>'ESCOLA SANTA LUIZA DE MARILLAC'!I17</f>
        <v/>
      </c>
      <c r="B1568" s="320">
        <f>'ESCOLA SANTA LUIZA DE MARILLAC'!D17</f>
        <v/>
      </c>
    </row>
    <row r="1569" ht="15" customHeight="1" s="163">
      <c r="A1569" s="319">
        <f>'ESCOLA SANTA LUIZA DE MARILLAC'!I18</f>
        <v/>
      </c>
      <c r="B1569" s="320">
        <f>'ESCOLA SANTA LUIZA DE MARILLAC'!D18</f>
        <v/>
      </c>
    </row>
    <row r="1570" ht="15" customHeight="1" s="163">
      <c r="A1570" s="319">
        <f>'ESCOLA SANTA LUIZA DE MARILLAC'!I19</f>
        <v/>
      </c>
      <c r="B1570" s="320">
        <f>'ESCOLA SANTA LUIZA DE MARILLAC'!D19</f>
        <v/>
      </c>
    </row>
    <row r="1571" ht="15" customHeight="1" s="163">
      <c r="A1571" s="319">
        <f>'ESCOLA SANTA LUIZA DE MARILLAC'!I20</f>
        <v/>
      </c>
      <c r="B1571" s="320">
        <f>'ESCOLA SANTA LUIZA DE MARILLAC'!D20</f>
        <v/>
      </c>
    </row>
    <row r="1572" ht="15" customHeight="1" s="163">
      <c r="A1572" s="319">
        <f>'ESCOLA SANTA LUIZA DE MARILLAC'!I21</f>
        <v/>
      </c>
      <c r="B1572" s="320">
        <f>'ESCOLA SANTA LUIZA DE MARILLAC'!D21</f>
        <v/>
      </c>
    </row>
    <row r="1573" ht="15" customHeight="1" s="163">
      <c r="A1573" s="319">
        <f>'ESCOLA SANTA LUIZA DE MARILLAC'!I22</f>
        <v/>
      </c>
      <c r="B1573" s="320">
        <f>'ESCOLA SANTA LUIZA DE MARILLAC'!D22</f>
        <v/>
      </c>
    </row>
    <row r="1574" ht="15" customHeight="1" s="163">
      <c r="A1574" s="319">
        <f>'ESCOLA SANTA LUIZA DE MARILLAC'!I23</f>
        <v/>
      </c>
      <c r="B1574" s="320">
        <f>'ESCOLA SANTA LUIZA DE MARILLAC'!D23</f>
        <v/>
      </c>
    </row>
    <row r="1575" ht="15" customHeight="1" s="163">
      <c r="A1575" s="319">
        <f>'ESCOLA SANTA LUIZA DE MARILLAC'!I24</f>
        <v/>
      </c>
      <c r="B1575" s="320">
        <f>'ESCOLA SANTA LUIZA DE MARILLAC'!D24</f>
        <v/>
      </c>
    </row>
    <row r="1576" ht="15" customHeight="1" s="163">
      <c r="A1576" s="319">
        <f>'ESCOLA SANTA LUIZA DE MARILLAC'!I25</f>
        <v/>
      </c>
      <c r="B1576" s="320">
        <f>'ESCOLA SANTA LUIZA DE MARILLAC'!D25</f>
        <v/>
      </c>
    </row>
    <row r="1577" ht="15" customHeight="1" s="163">
      <c r="A1577" s="319">
        <f>'ESCOLA SANTA LUIZA DE MARILLAC'!I26</f>
        <v/>
      </c>
      <c r="B1577" s="320">
        <f>'ESCOLA SANTA LUIZA DE MARILLAC'!D26</f>
        <v/>
      </c>
    </row>
    <row r="1578" ht="15" customHeight="1" s="163">
      <c r="A1578" s="319">
        <f>'ESCOLA SANTA LUIZA DE MARILLAC'!I27</f>
        <v/>
      </c>
      <c r="B1578" s="320">
        <f>'ESCOLA SANTA LUIZA DE MARILLAC'!D27</f>
        <v/>
      </c>
    </row>
    <row r="1579" ht="15" customHeight="1" s="163">
      <c r="A1579" s="319">
        <f>'CENTRO EDUCACIONAL COMUNIDADE S'!I9</f>
        <v/>
      </c>
      <c r="B1579" s="320">
        <f>'CENTRO EDUCACIONAL COMUNIDADE S'!D9</f>
        <v/>
      </c>
    </row>
    <row r="1580" ht="15" customHeight="1" s="163">
      <c r="A1580" s="319">
        <f>'CENTRO EDUCACIONAL COMUNIDADE S'!I10</f>
        <v/>
      </c>
      <c r="B1580" s="320">
        <f>'CENTRO EDUCACIONAL COMUNIDADE S'!D10</f>
        <v/>
      </c>
    </row>
    <row r="1581" ht="15" customHeight="1" s="163">
      <c r="A1581" s="319">
        <f>'CENTRO EDUCACIONAL COMUNIDADE S'!I11</f>
        <v/>
      </c>
      <c r="B1581" s="320">
        <f>'CENTRO EDUCACIONAL COMUNIDADE S'!D11</f>
        <v/>
      </c>
    </row>
    <row r="1582" ht="15" customHeight="1" s="163">
      <c r="A1582" s="319">
        <f>'CENTRO EDUCACIONAL COMUNIDADE S'!I12</f>
        <v/>
      </c>
      <c r="B1582" s="320">
        <f>'CENTRO EDUCACIONAL COMUNIDADE S'!D12</f>
        <v/>
      </c>
    </row>
    <row r="1583" ht="15" customHeight="1" s="163">
      <c r="A1583" s="319">
        <f>'CENTRO EDUCACIONAL COMUNIDADE S'!I13</f>
        <v/>
      </c>
      <c r="B1583" s="320">
        <f>'CENTRO EDUCACIONAL COMUNIDADE S'!D13</f>
        <v/>
      </c>
    </row>
    <row r="1584" ht="15" customHeight="1" s="163">
      <c r="A1584" s="319">
        <f>'CENTRO EDUCACIONAL COMUNIDADE S'!I14</f>
        <v/>
      </c>
      <c r="B1584" s="320">
        <f>'CENTRO EDUCACIONAL COMUNIDADE S'!D14</f>
        <v/>
      </c>
    </row>
    <row r="1585" ht="15" customHeight="1" s="163">
      <c r="A1585" s="319">
        <f>'CENTRO EDUCACIONAL COMUNIDADE S'!I15</f>
        <v/>
      </c>
      <c r="B1585" s="320">
        <f>'CENTRO EDUCACIONAL COMUNIDADE S'!D15</f>
        <v/>
      </c>
    </row>
    <row r="1586" ht="15" customHeight="1" s="163">
      <c r="A1586" s="319">
        <f>'CENTRO EDUCACIONAL COMUNIDADE S'!I16</f>
        <v/>
      </c>
      <c r="B1586" s="320">
        <f>'CENTRO EDUCACIONAL COMUNIDADE S'!D16</f>
        <v/>
      </c>
    </row>
    <row r="1587" ht="15" customHeight="1" s="163">
      <c r="A1587" s="319">
        <f>'CENTRO EDUCACIONAL COMUNIDADE S'!I17</f>
        <v/>
      </c>
      <c r="B1587" s="320">
        <f>'CENTRO EDUCACIONAL COMUNIDADE S'!D17</f>
        <v/>
      </c>
    </row>
    <row r="1588" ht="15" customHeight="1" s="163">
      <c r="A1588" s="319">
        <f>'CENTRO EDUCACIONAL COMUNIDADE S'!I18</f>
        <v/>
      </c>
      <c r="B1588" s="320">
        <f>'CENTRO EDUCACIONAL COMUNIDADE S'!D18</f>
        <v/>
      </c>
    </row>
    <row r="1589" ht="15" customHeight="1" s="163">
      <c r="A1589" s="319">
        <f>'CENTRO EDUCACIONAL COMUNIDADE S'!I19</f>
        <v/>
      </c>
      <c r="B1589" s="320">
        <f>'CENTRO EDUCACIONAL COMUNIDADE S'!D19</f>
        <v/>
      </c>
    </row>
    <row r="1590" ht="15" customHeight="1" s="163">
      <c r="A1590" s="319">
        <f>'CENTRO EDUCACIONAL COMUNIDADE S'!I20</f>
        <v/>
      </c>
      <c r="B1590" s="320">
        <f>'CENTRO EDUCACIONAL COMUNIDADE S'!D20</f>
        <v/>
      </c>
    </row>
    <row r="1591" ht="15" customHeight="1" s="163">
      <c r="A1591" s="319">
        <f>'CENTRO EDUCACIONAL COMUNIDADE S'!I21</f>
        <v/>
      </c>
      <c r="B1591" s="320">
        <f>'CENTRO EDUCACIONAL COMUNIDADE S'!D21</f>
        <v/>
      </c>
    </row>
    <row r="1592" ht="15" customHeight="1" s="163">
      <c r="A1592" s="319">
        <f>'CENTRO EDUCACIONAL COMUNIDADE S'!I22</f>
        <v/>
      </c>
      <c r="B1592" s="320">
        <f>'CENTRO EDUCACIONAL COMUNIDADE S'!D22</f>
        <v/>
      </c>
    </row>
    <row r="1593" ht="15" customHeight="1" s="163">
      <c r="A1593" s="319">
        <f>'CENTRO EDUCACIONAL COMUNIDADE S'!I23</f>
        <v/>
      </c>
      <c r="B1593" s="320">
        <f>'CENTRO EDUCACIONAL COMUNIDADE S'!D23</f>
        <v/>
      </c>
    </row>
    <row r="1594" ht="15" customHeight="1" s="163">
      <c r="A1594" s="319">
        <f>'CENTRO EDUCACIONAL COMUNIDADE S'!I24</f>
        <v/>
      </c>
      <c r="B1594" s="320">
        <f>'CENTRO EDUCACIONAL COMUNIDADE S'!D24</f>
        <v/>
      </c>
    </row>
    <row r="1595" ht="15" customHeight="1" s="163">
      <c r="A1595" s="319">
        <f>'CENTRO EDUCACIONAL COMUNIDADE S'!I25</f>
        <v/>
      </c>
      <c r="B1595" s="320">
        <f>'CENTRO EDUCACIONAL COMUNIDADE S'!D25</f>
        <v/>
      </c>
    </row>
    <row r="1596" ht="15" customHeight="1" s="163">
      <c r="A1596" s="319">
        <f>'CENTRO EDUCACIONAL COMUNIDADE S'!I26</f>
        <v/>
      </c>
      <c r="B1596" s="320">
        <f>'CENTRO EDUCACIONAL COMUNIDADE S'!D26</f>
        <v/>
      </c>
    </row>
    <row r="1597" ht="15" customHeight="1" s="163">
      <c r="A1597" s="319">
        <f>'CENTRO EDUCACIONAL COMUNIDADE S'!I27</f>
        <v/>
      </c>
      <c r="B1597" s="320">
        <f>'CENTRO EDUCACIONAL COMUNIDADE S'!D27</f>
        <v/>
      </c>
    </row>
    <row r="1598" ht="15" customHeight="1" s="163">
      <c r="A1598" s="319">
        <f>'EDUCANDÁRIO TERRA SANTA'!I9</f>
        <v/>
      </c>
      <c r="B1598" s="320">
        <f>'EDUCANDÁRIO TERRA SANTA'!D9</f>
        <v/>
      </c>
    </row>
    <row r="1599" ht="15" customHeight="1" s="163">
      <c r="A1599" s="319">
        <f>'EDUCANDÁRIO TERRA SANTA'!I10</f>
        <v/>
      </c>
      <c r="B1599" s="320">
        <f>'EDUCANDÁRIO TERRA SANTA'!D10</f>
        <v/>
      </c>
    </row>
    <row r="1600" ht="15" customHeight="1" s="163">
      <c r="A1600" s="319">
        <f>'EDUCANDÁRIO TERRA SANTA'!I11</f>
        <v/>
      </c>
      <c r="B1600" s="320">
        <f>'EDUCANDÁRIO TERRA SANTA'!D11</f>
        <v/>
      </c>
    </row>
    <row r="1601" ht="15" customHeight="1" s="163">
      <c r="A1601" s="319">
        <f>'EDUCANDÁRIO TERRA SANTA'!I12</f>
        <v/>
      </c>
      <c r="B1601" s="320">
        <f>'EDUCANDÁRIO TERRA SANTA'!D12</f>
        <v/>
      </c>
    </row>
    <row r="1602" ht="15" customHeight="1" s="163">
      <c r="A1602" s="319">
        <f>'EDUCANDÁRIO TERRA SANTA'!I13</f>
        <v/>
      </c>
      <c r="B1602" s="320">
        <f>'EDUCANDÁRIO TERRA SANTA'!D13</f>
        <v/>
      </c>
    </row>
    <row r="1603" ht="15" customHeight="1" s="163">
      <c r="A1603" s="319">
        <f>'EDUCANDÁRIO TERRA SANTA'!I14</f>
        <v/>
      </c>
      <c r="B1603" s="320">
        <f>'EDUCANDÁRIO TERRA SANTA'!D14</f>
        <v/>
      </c>
    </row>
    <row r="1604" ht="15" customHeight="1" s="163">
      <c r="A1604" s="319">
        <f>'EDUCANDÁRIO TERRA SANTA'!I15</f>
        <v/>
      </c>
      <c r="B1604" s="320">
        <f>'EDUCANDÁRIO TERRA SANTA'!D15</f>
        <v/>
      </c>
    </row>
    <row r="1605" ht="15" customHeight="1" s="163">
      <c r="A1605" s="319">
        <f>'EDUCANDÁRIO TERRA SANTA'!I16</f>
        <v/>
      </c>
      <c r="B1605" s="320">
        <f>'EDUCANDÁRIO TERRA SANTA'!D16</f>
        <v/>
      </c>
    </row>
    <row r="1606" ht="15" customHeight="1" s="163">
      <c r="A1606" s="319">
        <f>'EDUCANDÁRIO TERRA SANTA'!I17</f>
        <v/>
      </c>
      <c r="B1606" s="320">
        <f>'EDUCANDÁRIO TERRA SANTA'!D17</f>
        <v/>
      </c>
    </row>
    <row r="1607" ht="15" customHeight="1" s="163">
      <c r="A1607" s="319">
        <f>'EDUCANDÁRIO TERRA SANTA'!I18</f>
        <v/>
      </c>
      <c r="B1607" s="320">
        <f>'EDUCANDÁRIO TERRA SANTA'!D18</f>
        <v/>
      </c>
    </row>
    <row r="1608" ht="15" customHeight="1" s="163">
      <c r="A1608" s="319">
        <f>'EDUCANDÁRIO TERRA SANTA'!I19</f>
        <v/>
      </c>
      <c r="B1608" s="320">
        <f>'EDUCANDÁRIO TERRA SANTA'!D19</f>
        <v/>
      </c>
    </row>
    <row r="1609" ht="15" customHeight="1" s="163">
      <c r="A1609" s="319">
        <f>'EDUCANDÁRIO TERRA SANTA'!I20</f>
        <v/>
      </c>
      <c r="B1609" s="320">
        <f>'EDUCANDÁRIO TERRA SANTA'!D20</f>
        <v/>
      </c>
    </row>
    <row r="1610" ht="15" customHeight="1" s="163">
      <c r="A1610" s="319">
        <f>'EDUCANDÁRIO TERRA SANTA'!I21</f>
        <v/>
      </c>
      <c r="B1610" s="320">
        <f>'EDUCANDÁRIO TERRA SANTA'!D21</f>
        <v/>
      </c>
    </row>
    <row r="1611" ht="15" customHeight="1" s="163">
      <c r="A1611" s="319">
        <f>'EDUCANDÁRIO TERRA SANTA'!I22</f>
        <v/>
      </c>
      <c r="B1611" s="320">
        <f>'EDUCANDÁRIO TERRA SANTA'!D22</f>
        <v/>
      </c>
    </row>
    <row r="1612" ht="15" customHeight="1" s="163">
      <c r="A1612" s="319">
        <f>'EDUCANDÁRIO TERRA SANTA'!I23</f>
        <v/>
      </c>
      <c r="B1612" s="320">
        <f>'EDUCANDÁRIO TERRA SANTA'!D23</f>
        <v/>
      </c>
    </row>
    <row r="1613" ht="15" customHeight="1" s="163">
      <c r="A1613" s="319">
        <f>'EDUCANDÁRIO TERRA SANTA'!I24</f>
        <v/>
      </c>
      <c r="B1613" s="320">
        <f>'EDUCANDÁRIO TERRA SANTA'!D24</f>
        <v/>
      </c>
    </row>
    <row r="1614" ht="15" customHeight="1" s="163">
      <c r="A1614" s="319">
        <f>'EDUCANDÁRIO TERRA SANTA'!I25</f>
        <v/>
      </c>
      <c r="B1614" s="320">
        <f>'EDUCANDÁRIO TERRA SANTA'!D25</f>
        <v/>
      </c>
    </row>
    <row r="1615" ht="15" customHeight="1" s="163">
      <c r="A1615" s="319">
        <f>'EDUCANDÁRIO TERRA SANTA'!I26</f>
        <v/>
      </c>
      <c r="B1615" s="320">
        <f>'EDUCANDÁRIO TERRA SANTA'!D26</f>
        <v/>
      </c>
    </row>
    <row r="1616" ht="15" customHeight="1" s="163">
      <c r="A1616" s="319">
        <f>'EDUCANDÁRIO TERRA SANTA'!I27</f>
        <v/>
      </c>
      <c r="B1616" s="320">
        <f>'EDUCANDÁRIO TERRA SANTA'!D27</f>
        <v/>
      </c>
    </row>
    <row r="1617" ht="15" customHeight="1" s="163">
      <c r="A1617" s="319">
        <f>'ESCOLA GERMANO VALENTE'!I9</f>
        <v/>
      </c>
      <c r="B1617" s="320">
        <f>'ESCOLA GERMANO VALENTE'!D9</f>
        <v/>
      </c>
    </row>
    <row r="1618" ht="15" customHeight="1" s="163">
      <c r="A1618" s="319">
        <f>'ESCOLA GERMANO VALENTE'!I10</f>
        <v/>
      </c>
      <c r="B1618" s="320">
        <f>'ESCOLA GERMANO VALENTE'!D10</f>
        <v/>
      </c>
    </row>
    <row r="1619" ht="15" customHeight="1" s="163">
      <c r="A1619" s="319">
        <f>'ESCOLA GERMANO VALENTE'!I11</f>
        <v/>
      </c>
      <c r="B1619" s="320">
        <f>'ESCOLA GERMANO VALENTE'!D11</f>
        <v/>
      </c>
    </row>
    <row r="1620" ht="15" customHeight="1" s="163">
      <c r="A1620" s="319">
        <f>'ESCOLA GERMANO VALENTE'!I12</f>
        <v/>
      </c>
      <c r="B1620" s="320">
        <f>'ESCOLA GERMANO VALENTE'!D12</f>
        <v/>
      </c>
    </row>
    <row r="1621" ht="15" customHeight="1" s="163">
      <c r="A1621" s="319">
        <f>'ESCOLA GERMANO VALENTE'!I13</f>
        <v/>
      </c>
      <c r="B1621" s="320">
        <f>'ESCOLA GERMANO VALENTE'!D13</f>
        <v/>
      </c>
    </row>
    <row r="1622" ht="15" customHeight="1" s="163">
      <c r="A1622" s="319">
        <f>'ESCOLA GERMANO VALENTE'!I14</f>
        <v/>
      </c>
      <c r="B1622" s="320">
        <f>'ESCOLA GERMANO VALENTE'!D14</f>
        <v/>
      </c>
    </row>
    <row r="1623" ht="15" customHeight="1" s="163">
      <c r="A1623" s="319">
        <f>'ESCOLA GERMANO VALENTE'!I15</f>
        <v/>
      </c>
      <c r="B1623" s="320">
        <f>'ESCOLA GERMANO VALENTE'!D15</f>
        <v/>
      </c>
    </row>
    <row r="1624" ht="15" customHeight="1" s="163">
      <c r="A1624" s="319">
        <f>'ESCOLA GERMANO VALENTE'!I16</f>
        <v/>
      </c>
      <c r="B1624" s="320">
        <f>'ESCOLA GERMANO VALENTE'!D16</f>
        <v/>
      </c>
    </row>
    <row r="1625" ht="15" customHeight="1" s="163">
      <c r="A1625" s="319">
        <f>'ESCOLA GERMANO VALENTE'!I17</f>
        <v/>
      </c>
      <c r="B1625" s="320">
        <f>'ESCOLA GERMANO VALENTE'!D17</f>
        <v/>
      </c>
    </row>
    <row r="1626" ht="15" customHeight="1" s="163">
      <c r="A1626" s="319">
        <f>'ESCOLA GERMANO VALENTE'!I18</f>
        <v/>
      </c>
      <c r="B1626" s="320">
        <f>'ESCOLA GERMANO VALENTE'!D18</f>
        <v/>
      </c>
    </row>
    <row r="1627" ht="15" customHeight="1" s="163">
      <c r="A1627" s="319">
        <f>'ESCOLA GERMANO VALENTE'!I19</f>
        <v/>
      </c>
      <c r="B1627" s="320">
        <f>'ESCOLA GERMANO VALENTE'!D19</f>
        <v/>
      </c>
    </row>
    <row r="1628" ht="15" customHeight="1" s="163">
      <c r="A1628" s="319">
        <f>'ESCOLA GERMANO VALENTE'!I20</f>
        <v/>
      </c>
      <c r="B1628" s="320">
        <f>'ESCOLA GERMANO VALENTE'!D20</f>
        <v/>
      </c>
    </row>
    <row r="1629" ht="15" customHeight="1" s="163">
      <c r="A1629" s="319">
        <f>'ESCOLA GERMANO VALENTE'!I21</f>
        <v/>
      </c>
      <c r="B1629" s="320">
        <f>'ESCOLA GERMANO VALENTE'!D21</f>
        <v/>
      </c>
    </row>
    <row r="1630" ht="15" customHeight="1" s="163">
      <c r="A1630" s="319">
        <f>'ESCOLA GERMANO VALENTE'!I22</f>
        <v/>
      </c>
      <c r="B1630" s="320">
        <f>'ESCOLA GERMANO VALENTE'!D22</f>
        <v/>
      </c>
    </row>
    <row r="1631" ht="15" customHeight="1" s="163">
      <c r="A1631" s="319">
        <f>'ESCOLA GERMANO VALENTE'!I23</f>
        <v/>
      </c>
      <c r="B1631" s="320">
        <f>'ESCOLA GERMANO VALENTE'!D23</f>
        <v/>
      </c>
    </row>
    <row r="1632" ht="15" customHeight="1" s="163">
      <c r="A1632" s="319">
        <f>'ESCOLA GERMANO VALENTE'!I24</f>
        <v/>
      </c>
      <c r="B1632" s="320">
        <f>'ESCOLA GERMANO VALENTE'!D24</f>
        <v/>
      </c>
    </row>
    <row r="1633" ht="15" customHeight="1" s="163">
      <c r="A1633" s="319">
        <f>'ESCOLA GERMANO VALENTE'!I25</f>
        <v/>
      </c>
      <c r="B1633" s="320">
        <f>'ESCOLA GERMANO VALENTE'!D25</f>
        <v/>
      </c>
    </row>
    <row r="1634" ht="15" customHeight="1" s="163">
      <c r="A1634" s="319">
        <f>'ESCOLA GERMANO VALENTE'!I26</f>
        <v/>
      </c>
      <c r="B1634" s="320">
        <f>'ESCOLA GERMANO VALENTE'!D26</f>
        <v/>
      </c>
    </row>
    <row r="1635" ht="15" customHeight="1" s="163">
      <c r="A1635" s="319">
        <f>'ESCOLA GERMANO VALENTE'!I27</f>
        <v/>
      </c>
      <c r="B1635" s="320">
        <f>'ESCOLA GERMANO VALENTE'!D27</f>
        <v/>
      </c>
    </row>
    <row r="1636" ht="15" customHeight="1" s="163">
      <c r="A1636" s="319">
        <f>'ESCOLA DAS COMUNIDADES SANTO AN'!I9</f>
        <v/>
      </c>
      <c r="B1636" s="320">
        <f>'ESCOLA DAS COMUNIDADES SANTO AN'!D9</f>
        <v/>
      </c>
    </row>
    <row r="1637" ht="15" customHeight="1" s="163">
      <c r="A1637" s="319">
        <f>'ESCOLA DAS COMUNIDADES SANTO AN'!I10</f>
        <v/>
      </c>
      <c r="B1637" s="320">
        <f>'ESCOLA DAS COMUNIDADES SANTO AN'!D10</f>
        <v/>
      </c>
    </row>
    <row r="1638" ht="15" customHeight="1" s="163">
      <c r="A1638" s="319">
        <f>'ESCOLA DAS COMUNIDADES SANTO AN'!I11</f>
        <v/>
      </c>
      <c r="B1638" s="320">
        <f>'ESCOLA DAS COMUNIDADES SANTO AN'!D11</f>
        <v/>
      </c>
    </row>
    <row r="1639" ht="15" customHeight="1" s="163">
      <c r="A1639" s="319">
        <f>'ESCOLA DAS COMUNIDADES SANTO AN'!I12</f>
        <v/>
      </c>
      <c r="B1639" s="320">
        <f>'ESCOLA DAS COMUNIDADES SANTO AN'!D12</f>
        <v/>
      </c>
    </row>
    <row r="1640" ht="15" customHeight="1" s="163">
      <c r="A1640" s="319">
        <f>'ESCOLA DAS COMUNIDADES SANTO AN'!I13</f>
        <v/>
      </c>
      <c r="B1640" s="320">
        <f>'ESCOLA DAS COMUNIDADES SANTO AN'!D13</f>
        <v/>
      </c>
    </row>
    <row r="1641" ht="15" customHeight="1" s="163">
      <c r="A1641" s="319">
        <f>'ESCOLA DAS COMUNIDADES SANTO AN'!I14</f>
        <v/>
      </c>
      <c r="B1641" s="320">
        <f>'ESCOLA DAS COMUNIDADES SANTO AN'!D14</f>
        <v/>
      </c>
    </row>
    <row r="1642" ht="15" customHeight="1" s="163">
      <c r="A1642" s="319">
        <f>'ESCOLA DAS COMUNIDADES SANTO AN'!I15</f>
        <v/>
      </c>
      <c r="B1642" s="320">
        <f>'ESCOLA DAS COMUNIDADES SANTO AN'!D15</f>
        <v/>
      </c>
    </row>
    <row r="1643" ht="15" customHeight="1" s="163">
      <c r="A1643" s="319">
        <f>'ESCOLA DAS COMUNIDADES SANTO AN'!I16</f>
        <v/>
      </c>
      <c r="B1643" s="320">
        <f>'ESCOLA DAS COMUNIDADES SANTO AN'!D16</f>
        <v/>
      </c>
    </row>
    <row r="1644" ht="15" customHeight="1" s="163">
      <c r="A1644" s="319">
        <f>'ESCOLA DAS COMUNIDADES SANTO AN'!I17</f>
        <v/>
      </c>
      <c r="B1644" s="320">
        <f>'ESCOLA DAS COMUNIDADES SANTO AN'!D17</f>
        <v/>
      </c>
    </row>
    <row r="1645" ht="15" customHeight="1" s="163">
      <c r="A1645" s="319">
        <f>'ESCOLA DAS COMUNIDADES SANTO AN'!I18</f>
        <v/>
      </c>
      <c r="B1645" s="320">
        <f>'ESCOLA DAS COMUNIDADES SANTO AN'!D18</f>
        <v/>
      </c>
    </row>
    <row r="1646" ht="15" customHeight="1" s="163">
      <c r="A1646" s="319">
        <f>'ESCOLA DAS COMUNIDADES SANTO AN'!I19</f>
        <v/>
      </c>
      <c r="B1646" s="320">
        <f>'ESCOLA DAS COMUNIDADES SANTO AN'!D19</f>
        <v/>
      </c>
    </row>
    <row r="1647" ht="15" customHeight="1" s="163">
      <c r="A1647" s="319">
        <f>'ESCOLA DAS COMUNIDADES SANTO AN'!I20</f>
        <v/>
      </c>
      <c r="B1647" s="320">
        <f>'ESCOLA DAS COMUNIDADES SANTO AN'!D20</f>
        <v/>
      </c>
    </row>
    <row r="1648" ht="15" customHeight="1" s="163">
      <c r="A1648" s="319">
        <f>'ESCOLA DAS COMUNIDADES SANTO AN'!I21</f>
        <v/>
      </c>
      <c r="B1648" s="320">
        <f>'ESCOLA DAS COMUNIDADES SANTO AN'!D21</f>
        <v/>
      </c>
    </row>
    <row r="1649" ht="15" customHeight="1" s="163">
      <c r="A1649" s="319">
        <f>'ESCOLA DAS COMUNIDADES SANTO AN'!I22</f>
        <v/>
      </c>
      <c r="B1649" s="320">
        <f>'ESCOLA DAS COMUNIDADES SANTO AN'!D22</f>
        <v/>
      </c>
    </row>
    <row r="1650" ht="15" customHeight="1" s="163">
      <c r="A1650" s="319">
        <f>'ESCOLA DAS COMUNIDADES SANTO AN'!I23</f>
        <v/>
      </c>
      <c r="B1650" s="320">
        <f>'ESCOLA DAS COMUNIDADES SANTO AN'!D23</f>
        <v/>
      </c>
    </row>
    <row r="1651" ht="15" customHeight="1" s="163">
      <c r="A1651" s="319">
        <f>'ESCOLA DAS COMUNIDADES SANTO AN'!I24</f>
        <v/>
      </c>
      <c r="B1651" s="320">
        <f>'ESCOLA DAS COMUNIDADES SANTO AN'!D24</f>
        <v/>
      </c>
    </row>
    <row r="1652" ht="15" customHeight="1" s="163">
      <c r="A1652" s="319">
        <f>'ESCOLA DAS COMUNIDADES SANTO AN'!I25</f>
        <v/>
      </c>
      <c r="B1652" s="320">
        <f>'ESCOLA DAS COMUNIDADES SANTO AN'!D25</f>
        <v/>
      </c>
    </row>
    <row r="1653" ht="15" customHeight="1" s="163">
      <c r="A1653" s="319">
        <f>'ESCOLA DAS COMUNIDADES SANTO AN'!I26</f>
        <v/>
      </c>
      <c r="B1653" s="320">
        <f>'ESCOLA DAS COMUNIDADES SANTO AN'!D26</f>
        <v/>
      </c>
    </row>
    <row r="1654" ht="15" customHeight="1" s="163">
      <c r="A1654" s="319">
        <f>'ESCOLA DAS COMUNIDADES SANTO AN'!I27</f>
        <v/>
      </c>
      <c r="B1654" s="320">
        <f>'ESCOLA DAS COMUNIDADES SANTO AN'!D27</f>
        <v/>
      </c>
    </row>
    <row r="1655" ht="15" customHeight="1" s="163">
      <c r="A1655" s="319">
        <f>'ESCOLA DOMÉSTICA NOSSA SENHORA '!I9</f>
        <v/>
      </c>
      <c r="B1655" s="320">
        <f>'ESCOLA DOMÉSTICA NOSSA SENHORA '!D9</f>
        <v/>
      </c>
    </row>
    <row r="1656" ht="15" customHeight="1" s="163">
      <c r="A1656" s="319">
        <f>'ESCOLA DOMÉSTICA NOSSA SENHORA '!I10</f>
        <v/>
      </c>
      <c r="B1656" s="320">
        <f>'ESCOLA DOMÉSTICA NOSSA SENHORA '!D10</f>
        <v/>
      </c>
    </row>
    <row r="1657" ht="15" customHeight="1" s="163">
      <c r="A1657" s="319">
        <f>'ESCOLA DOMÉSTICA NOSSA SENHORA '!I11</f>
        <v/>
      </c>
      <c r="B1657" s="320">
        <f>'ESCOLA DOMÉSTICA NOSSA SENHORA '!D11</f>
        <v/>
      </c>
    </row>
    <row r="1658" ht="15" customHeight="1" s="163">
      <c r="A1658" s="319">
        <f>'ESCOLA DOMÉSTICA NOSSA SENHORA '!I12</f>
        <v/>
      </c>
      <c r="B1658" s="320">
        <f>'ESCOLA DOMÉSTICA NOSSA SENHORA '!D12</f>
        <v/>
      </c>
    </row>
    <row r="1659" ht="15" customHeight="1" s="163">
      <c r="A1659" s="319">
        <f>'ESCOLA DOMÉSTICA NOSSA SENHORA '!I13</f>
        <v/>
      </c>
      <c r="B1659" s="320">
        <f>'ESCOLA DOMÉSTICA NOSSA SENHORA '!D13</f>
        <v/>
      </c>
    </row>
    <row r="1660" ht="15" customHeight="1" s="163">
      <c r="A1660" s="319">
        <f>'ESCOLA DOMÉSTICA NOSSA SENHORA '!I14</f>
        <v/>
      </c>
      <c r="B1660" s="320">
        <f>'ESCOLA DOMÉSTICA NOSSA SENHORA '!D14</f>
        <v/>
      </c>
    </row>
    <row r="1661" ht="15" customHeight="1" s="163">
      <c r="A1661" s="319">
        <f>'ESCOLA DOMÉSTICA NOSSA SENHORA '!I15</f>
        <v/>
      </c>
      <c r="B1661" s="320">
        <f>'ESCOLA DOMÉSTICA NOSSA SENHORA '!D15</f>
        <v/>
      </c>
    </row>
    <row r="1662" ht="15" customHeight="1" s="163">
      <c r="A1662" s="319">
        <f>'ESCOLA DOMÉSTICA NOSSA SENHORA '!I16</f>
        <v/>
      </c>
      <c r="B1662" s="320">
        <f>'ESCOLA DOMÉSTICA NOSSA SENHORA '!D16</f>
        <v/>
      </c>
    </row>
    <row r="1663" ht="15" customHeight="1" s="163">
      <c r="A1663" s="319">
        <f>'ESCOLA DOMÉSTICA NOSSA SENHORA '!I17</f>
        <v/>
      </c>
      <c r="B1663" s="320">
        <f>'ESCOLA DOMÉSTICA NOSSA SENHORA '!D17</f>
        <v/>
      </c>
    </row>
    <row r="1664" ht="15" customHeight="1" s="163">
      <c r="A1664" s="319">
        <f>'ESCOLA DOMÉSTICA NOSSA SENHORA '!I18</f>
        <v/>
      </c>
      <c r="B1664" s="320">
        <f>'ESCOLA DOMÉSTICA NOSSA SENHORA '!D18</f>
        <v/>
      </c>
    </row>
    <row r="1665" ht="15" customHeight="1" s="163">
      <c r="A1665" s="319">
        <f>'ESCOLA DOMÉSTICA NOSSA SENHORA '!I19</f>
        <v/>
      </c>
      <c r="B1665" s="320">
        <f>'ESCOLA DOMÉSTICA NOSSA SENHORA '!D19</f>
        <v/>
      </c>
    </row>
    <row r="1666" ht="15" customHeight="1" s="163">
      <c r="A1666" s="319">
        <f>'ESCOLA DOMÉSTICA NOSSA SENHORA '!I20</f>
        <v/>
      </c>
      <c r="B1666" s="320">
        <f>'ESCOLA DOMÉSTICA NOSSA SENHORA '!D20</f>
        <v/>
      </c>
    </row>
    <row r="1667" ht="15" customHeight="1" s="163">
      <c r="A1667" s="319">
        <f>'ESCOLA DOMÉSTICA NOSSA SENHORA '!I21</f>
        <v/>
      </c>
      <c r="B1667" s="320">
        <f>'ESCOLA DOMÉSTICA NOSSA SENHORA '!D21</f>
        <v/>
      </c>
    </row>
    <row r="1668" ht="15" customHeight="1" s="163">
      <c r="A1668" s="319">
        <f>'ESCOLA DOMÉSTICA NOSSA SENHORA '!I22</f>
        <v/>
      </c>
      <c r="B1668" s="320">
        <f>'ESCOLA DOMÉSTICA NOSSA SENHORA '!D22</f>
        <v/>
      </c>
    </row>
    <row r="1669" ht="15" customHeight="1" s="163">
      <c r="A1669" s="319">
        <f>'ESCOLA DOMÉSTICA NOSSA SENHORA '!I23</f>
        <v/>
      </c>
      <c r="B1669" s="320">
        <f>'ESCOLA DOMÉSTICA NOSSA SENHORA '!D23</f>
        <v/>
      </c>
    </row>
    <row r="1670" ht="15" customHeight="1" s="163">
      <c r="A1670" s="319">
        <f>'ESCOLA DOMÉSTICA NOSSA SENHORA '!I24</f>
        <v/>
      </c>
      <c r="B1670" s="320">
        <f>'ESCOLA DOMÉSTICA NOSSA SENHORA '!D24</f>
        <v/>
      </c>
    </row>
    <row r="1671" ht="15" customHeight="1" s="163">
      <c r="A1671" s="319">
        <f>'ESCOLA DOMÉSTICA NOSSA SENHORA '!I25</f>
        <v/>
      </c>
      <c r="B1671" s="320">
        <f>'ESCOLA DOMÉSTICA NOSSA SENHORA '!D25</f>
        <v/>
      </c>
    </row>
    <row r="1672" ht="15" customHeight="1" s="163">
      <c r="A1672" s="319">
        <f>'ESCOLA DOMÉSTICA NOSSA SENHORA '!I26</f>
        <v/>
      </c>
      <c r="B1672" s="320">
        <f>'ESCOLA DOMÉSTICA NOSSA SENHORA '!D26</f>
        <v/>
      </c>
    </row>
    <row r="1673" ht="15" customHeight="1" s="163">
      <c r="A1673" s="319">
        <f>'ESCOLA DOMÉSTICA NOSSA SENHORA '!I27</f>
        <v/>
      </c>
      <c r="B1673" s="320">
        <f>'ESCOLA DOMÉSTICA NOSSA SENHORA '!D27</f>
        <v/>
      </c>
    </row>
    <row r="1674" ht="15" customHeight="1" s="163">
      <c r="A1674" s="319">
        <f>'ESCOLA PAROQUIAL NOSSA SENHO 3'!I9</f>
        <v/>
      </c>
      <c r="B1674" s="320">
        <f>'ESCOLA PAROQUIAL NOSSA SENHO 3'!D9</f>
        <v/>
      </c>
    </row>
    <row r="1675" ht="15" customHeight="1" s="163">
      <c r="A1675" s="319">
        <f>'ESCOLA PAROQUIAL NOSSA SENHO 3'!I10</f>
        <v/>
      </c>
      <c r="B1675" s="320">
        <f>'ESCOLA PAROQUIAL NOSSA SENHO 3'!D10</f>
        <v/>
      </c>
    </row>
    <row r="1676" ht="15" customHeight="1" s="163">
      <c r="A1676" s="319">
        <f>'ESCOLA PAROQUIAL NOSSA SENHO 3'!I11</f>
        <v/>
      </c>
      <c r="B1676" s="320">
        <f>'ESCOLA PAROQUIAL NOSSA SENHO 3'!D11</f>
        <v/>
      </c>
    </row>
    <row r="1677" ht="15" customHeight="1" s="163">
      <c r="A1677" s="319">
        <f>'ESCOLA PAROQUIAL NOSSA SENHO 3'!I12</f>
        <v/>
      </c>
      <c r="B1677" s="320">
        <f>'ESCOLA PAROQUIAL NOSSA SENHO 3'!D12</f>
        <v/>
      </c>
    </row>
    <row r="1678" ht="15" customHeight="1" s="163">
      <c r="A1678" s="319">
        <f>'ESCOLA PAROQUIAL NOSSA SENHO 3'!I13</f>
        <v/>
      </c>
      <c r="B1678" s="320">
        <f>'ESCOLA PAROQUIAL NOSSA SENHO 3'!D13</f>
        <v/>
      </c>
    </row>
    <row r="1679" ht="15" customHeight="1" s="163">
      <c r="A1679" s="319">
        <f>'ESCOLA PAROQUIAL NOSSA SENHO 3'!I14</f>
        <v/>
      </c>
      <c r="B1679" s="320">
        <f>'ESCOLA PAROQUIAL NOSSA SENHO 3'!D14</f>
        <v/>
      </c>
    </row>
    <row r="1680" ht="15" customHeight="1" s="163">
      <c r="A1680" s="319">
        <f>'ESCOLA PAROQUIAL NOSSA SENHO 3'!I15</f>
        <v/>
      </c>
      <c r="B1680" s="320">
        <f>'ESCOLA PAROQUIAL NOSSA SENHO 3'!D15</f>
        <v/>
      </c>
    </row>
    <row r="1681" ht="15" customHeight="1" s="163">
      <c r="A1681" s="319">
        <f>'ESCOLA PAROQUIAL NOSSA SENHO 3'!I16</f>
        <v/>
      </c>
      <c r="B1681" s="320">
        <f>'ESCOLA PAROQUIAL NOSSA SENHO 3'!D16</f>
        <v/>
      </c>
    </row>
    <row r="1682" ht="15" customHeight="1" s="163">
      <c r="A1682" s="319">
        <f>'ESCOLA PAROQUIAL NOSSA SENHO 3'!I17</f>
        <v/>
      </c>
      <c r="B1682" s="320">
        <f>'ESCOLA PAROQUIAL NOSSA SENHO 3'!D17</f>
        <v/>
      </c>
    </row>
    <row r="1683" ht="15" customHeight="1" s="163">
      <c r="A1683" s="319">
        <f>'ESCOLA PAROQUIAL NOSSA SENHO 3'!I18</f>
        <v/>
      </c>
      <c r="B1683" s="320">
        <f>'ESCOLA PAROQUIAL NOSSA SENHO 3'!D18</f>
        <v/>
      </c>
    </row>
    <row r="1684" ht="15" customHeight="1" s="163">
      <c r="A1684" s="319">
        <f>'ESCOLA PAROQUIAL NOSSA SENHO 3'!I19</f>
        <v/>
      </c>
      <c r="B1684" s="320">
        <f>'ESCOLA PAROQUIAL NOSSA SENHO 3'!D19</f>
        <v/>
      </c>
    </row>
    <row r="1685" ht="15" customHeight="1" s="163">
      <c r="A1685" s="319">
        <f>'ESCOLA PAROQUIAL NOSSA SENHO 3'!I20</f>
        <v/>
      </c>
      <c r="B1685" s="320">
        <f>'ESCOLA PAROQUIAL NOSSA SENHO 3'!D20</f>
        <v/>
      </c>
    </row>
    <row r="1686" ht="15" customHeight="1" s="163">
      <c r="A1686" s="319">
        <f>'ESCOLA PAROQUIAL NOSSA SENHO 3'!I21</f>
        <v/>
      </c>
      <c r="B1686" s="320">
        <f>'ESCOLA PAROQUIAL NOSSA SENHO 3'!D21</f>
        <v/>
      </c>
    </row>
    <row r="1687" ht="15" customHeight="1" s="163">
      <c r="A1687" s="319">
        <f>'ESCOLA PAROQUIAL NOSSA SENHO 3'!I22</f>
        <v/>
      </c>
      <c r="B1687" s="320">
        <f>'ESCOLA PAROQUIAL NOSSA SENHO 3'!D22</f>
        <v/>
      </c>
    </row>
    <row r="1688" ht="15" customHeight="1" s="163">
      <c r="A1688" s="319">
        <f>'ESCOLA PAROQUIAL NOSSA SENHO 3'!I23</f>
        <v/>
      </c>
      <c r="B1688" s="320">
        <f>'ESCOLA PAROQUIAL NOSSA SENHO 3'!D23</f>
        <v/>
      </c>
    </row>
    <row r="1689" ht="15" customHeight="1" s="163">
      <c r="A1689" s="319">
        <f>'ESCOLA PAROQUIAL NOSSA SENHO 3'!I24</f>
        <v/>
      </c>
      <c r="B1689" s="320">
        <f>'ESCOLA PAROQUIAL NOSSA SENHO 3'!D24</f>
        <v/>
      </c>
    </row>
    <row r="1690" ht="15" customHeight="1" s="163">
      <c r="A1690" s="319">
        <f>'ESCOLA PAROQUIAL NOSSA SENHO 3'!I25</f>
        <v/>
      </c>
      <c r="B1690" s="320">
        <f>'ESCOLA PAROQUIAL NOSSA SENHO 3'!D25</f>
        <v/>
      </c>
    </row>
    <row r="1691" ht="15" customHeight="1" s="163">
      <c r="A1691" s="319">
        <f>'ESCOLA PAROQUIAL NOSSA SENHO 3'!I26</f>
        <v/>
      </c>
      <c r="B1691" s="320">
        <f>'ESCOLA PAROQUIAL NOSSA SENHO 3'!D26</f>
        <v/>
      </c>
    </row>
    <row r="1692" ht="15" customHeight="1" s="163">
      <c r="A1692" s="319">
        <f>'ESCOLA PAROQUIAL NOSSA SENHO 3'!I27</f>
        <v/>
      </c>
      <c r="B1692" s="320">
        <f>'ESCOLA PAROQUIAL NOSSA SENHO 3'!D27</f>
        <v/>
      </c>
    </row>
    <row r="1693" ht="15" customHeight="1" s="163">
      <c r="A1693" s="319">
        <f>'ESCOLA MONSENHOR GENTIL'!I9</f>
        <v/>
      </c>
      <c r="B1693" s="320">
        <f>'ESCOLA MONSENHOR GENTIL'!D9</f>
        <v/>
      </c>
    </row>
    <row r="1694" ht="15" customHeight="1" s="163">
      <c r="A1694" s="319">
        <f>'ESCOLA MONSENHOR GENTIL'!I10</f>
        <v/>
      </c>
      <c r="B1694" s="320">
        <f>'ESCOLA MONSENHOR GENTIL'!D10</f>
        <v/>
      </c>
    </row>
    <row r="1695" ht="15" customHeight="1" s="163">
      <c r="A1695" s="319">
        <f>'ESCOLA MONSENHOR GENTIL'!I11</f>
        <v/>
      </c>
      <c r="B1695" s="320">
        <f>'ESCOLA MONSENHOR GENTIL'!D11</f>
        <v/>
      </c>
    </row>
    <row r="1696" ht="15" customHeight="1" s="163">
      <c r="A1696" s="319">
        <f>'ESCOLA MONSENHOR GENTIL'!I12</f>
        <v/>
      </c>
      <c r="B1696" s="320">
        <f>'ESCOLA MONSENHOR GENTIL'!D12</f>
        <v/>
      </c>
    </row>
    <row r="1697" ht="15" customHeight="1" s="163">
      <c r="A1697" s="319">
        <f>'ESCOLA MONSENHOR GENTIL'!I13</f>
        <v/>
      </c>
      <c r="B1697" s="320">
        <f>'ESCOLA MONSENHOR GENTIL'!D13</f>
        <v/>
      </c>
    </row>
    <row r="1698" ht="15" customHeight="1" s="163">
      <c r="A1698" s="319">
        <f>'ESCOLA MONSENHOR GENTIL'!I14</f>
        <v/>
      </c>
      <c r="B1698" s="320">
        <f>'ESCOLA MONSENHOR GENTIL'!D14</f>
        <v/>
      </c>
    </row>
    <row r="1699" ht="15" customHeight="1" s="163">
      <c r="A1699" s="319">
        <f>'ESCOLA MONSENHOR GENTIL'!I15</f>
        <v/>
      </c>
      <c r="B1699" s="320">
        <f>'ESCOLA MONSENHOR GENTIL'!D15</f>
        <v/>
      </c>
    </row>
    <row r="1700" ht="15" customHeight="1" s="163">
      <c r="A1700" s="319">
        <f>'ESCOLA MONSENHOR GENTIL'!I16</f>
        <v/>
      </c>
      <c r="B1700" s="320">
        <f>'ESCOLA MONSENHOR GENTIL'!D16</f>
        <v/>
      </c>
    </row>
    <row r="1701" ht="15" customHeight="1" s="163">
      <c r="A1701" s="319">
        <f>'ESCOLA MONSENHOR GENTIL'!I17</f>
        <v/>
      </c>
      <c r="B1701" s="320">
        <f>'ESCOLA MONSENHOR GENTIL'!D17</f>
        <v/>
      </c>
    </row>
    <row r="1702" ht="15" customHeight="1" s="163">
      <c r="A1702" s="319">
        <f>'ESCOLA MONSENHOR GENTIL'!I18</f>
        <v/>
      </c>
      <c r="B1702" s="320">
        <f>'ESCOLA MONSENHOR GENTIL'!D18</f>
        <v/>
      </c>
    </row>
    <row r="1703" ht="15" customHeight="1" s="163">
      <c r="A1703" s="319">
        <f>'ESCOLA MONSENHOR GENTIL'!I19</f>
        <v/>
      </c>
      <c r="B1703" s="320">
        <f>'ESCOLA MONSENHOR GENTIL'!D19</f>
        <v/>
      </c>
    </row>
    <row r="1704" ht="15" customHeight="1" s="163">
      <c r="A1704" s="319">
        <f>'ESCOLA MONSENHOR GENTIL'!I20</f>
        <v/>
      </c>
      <c r="B1704" s="320">
        <f>'ESCOLA MONSENHOR GENTIL'!D20</f>
        <v/>
      </c>
    </row>
    <row r="1705" ht="15" customHeight="1" s="163">
      <c r="A1705" s="319">
        <f>'ESCOLA MONSENHOR GENTIL'!I21</f>
        <v/>
      </c>
      <c r="B1705" s="320">
        <f>'ESCOLA MONSENHOR GENTIL'!D21</f>
        <v/>
      </c>
    </row>
    <row r="1706" ht="15" customHeight="1" s="163">
      <c r="A1706" s="319">
        <f>'ESCOLA MONSENHOR GENTIL'!I22</f>
        <v/>
      </c>
      <c r="B1706" s="320">
        <f>'ESCOLA MONSENHOR GENTIL'!D22</f>
        <v/>
      </c>
    </row>
    <row r="1707" ht="15" customHeight="1" s="163">
      <c r="A1707" s="319">
        <f>'ESCOLA MONSENHOR GENTIL'!I23</f>
        <v/>
      </c>
      <c r="B1707" s="320">
        <f>'ESCOLA MONSENHOR GENTIL'!D23</f>
        <v/>
      </c>
    </row>
    <row r="1708" ht="15" customHeight="1" s="163">
      <c r="A1708" s="319">
        <f>'ESCOLA MONSENHOR GENTIL'!I24</f>
        <v/>
      </c>
      <c r="B1708" s="320">
        <f>'ESCOLA MONSENHOR GENTIL'!D24</f>
        <v/>
      </c>
    </row>
    <row r="1709" ht="15" customHeight="1" s="163">
      <c r="A1709" s="319">
        <f>'ESCOLA MONSENHOR GENTIL'!I25</f>
        <v/>
      </c>
      <c r="B1709" s="320">
        <f>'ESCOLA MONSENHOR GENTIL'!D25</f>
        <v/>
      </c>
    </row>
    <row r="1710" ht="15" customHeight="1" s="163">
      <c r="A1710" s="319">
        <f>'ESCOLA MONSENHOR GENTIL'!I26</f>
        <v/>
      </c>
      <c r="B1710" s="320">
        <f>'ESCOLA MONSENHOR GENTIL'!D26</f>
        <v/>
      </c>
    </row>
    <row r="1711" ht="15" customHeight="1" s="163">
      <c r="A1711" s="319">
        <f>'ESCOLA MONSENHOR GENTIL'!I27</f>
        <v/>
      </c>
      <c r="B1711" s="320">
        <f>'ESCOLA MONSENHOR GENTIL'!D27</f>
        <v/>
      </c>
    </row>
    <row r="1712" ht="15" customHeight="1" s="163">
      <c r="A1712" s="319">
        <f>'ESCOLA PAROQUIAL BOM JESUS'!I9</f>
        <v/>
      </c>
      <c r="B1712" s="320">
        <f>'ESCOLA PAROQUIAL BOM JESUS'!D9</f>
        <v/>
      </c>
    </row>
    <row r="1713" ht="15" customHeight="1" s="163">
      <c r="A1713" s="319">
        <f>'ESCOLA PAROQUIAL BOM JESUS'!I10</f>
        <v/>
      </c>
      <c r="B1713" s="320">
        <f>'ESCOLA PAROQUIAL BOM JESUS'!D10</f>
        <v/>
      </c>
    </row>
    <row r="1714" ht="15" customHeight="1" s="163">
      <c r="A1714" s="319">
        <f>'ESCOLA PAROQUIAL BOM JESUS'!I11</f>
        <v/>
      </c>
      <c r="B1714" s="320">
        <f>'ESCOLA PAROQUIAL BOM JESUS'!D11</f>
        <v/>
      </c>
    </row>
    <row r="1715" ht="15" customHeight="1" s="163">
      <c r="A1715" s="319">
        <f>'ESCOLA PAROQUIAL BOM JESUS'!I12</f>
        <v/>
      </c>
      <c r="B1715" s="320">
        <f>'ESCOLA PAROQUIAL BOM JESUS'!D12</f>
        <v/>
      </c>
    </row>
    <row r="1716" ht="15" customHeight="1" s="163">
      <c r="A1716" s="319">
        <f>'ESCOLA PAROQUIAL BOM JESUS'!I13</f>
        <v/>
      </c>
      <c r="B1716" s="320">
        <f>'ESCOLA PAROQUIAL BOM JESUS'!D13</f>
        <v/>
      </c>
    </row>
    <row r="1717" ht="15" customHeight="1" s="163">
      <c r="A1717" s="319">
        <f>'ESCOLA PAROQUIAL BOM JESUS'!I14</f>
        <v/>
      </c>
      <c r="B1717" s="320">
        <f>'ESCOLA PAROQUIAL BOM JESUS'!D14</f>
        <v/>
      </c>
    </row>
    <row r="1718" ht="15" customHeight="1" s="163">
      <c r="A1718" s="319">
        <f>'ESCOLA PAROQUIAL BOM JESUS'!I15</f>
        <v/>
      </c>
      <c r="B1718" s="320">
        <f>'ESCOLA PAROQUIAL BOM JESUS'!D15</f>
        <v/>
      </c>
    </row>
    <row r="1719" ht="15" customHeight="1" s="163">
      <c r="A1719" s="319">
        <f>'ESCOLA PAROQUIAL BOM JESUS'!I16</f>
        <v/>
      </c>
      <c r="B1719" s="320">
        <f>'ESCOLA PAROQUIAL BOM JESUS'!D16</f>
        <v/>
      </c>
    </row>
    <row r="1720" ht="15" customHeight="1" s="163">
      <c r="A1720" s="319">
        <f>'ESCOLA PAROQUIAL BOM JESUS'!I17</f>
        <v/>
      </c>
      <c r="B1720" s="320">
        <f>'ESCOLA PAROQUIAL BOM JESUS'!D17</f>
        <v/>
      </c>
    </row>
    <row r="1721" ht="15" customHeight="1" s="163">
      <c r="A1721" s="319">
        <f>'ESCOLA PAROQUIAL BOM JESUS'!I18</f>
        <v/>
      </c>
      <c r="B1721" s="320">
        <f>'ESCOLA PAROQUIAL BOM JESUS'!D18</f>
        <v/>
      </c>
    </row>
    <row r="1722" ht="15" customHeight="1" s="163">
      <c r="A1722" s="319">
        <f>'ESCOLA PAROQUIAL BOM JESUS'!I19</f>
        <v/>
      </c>
      <c r="B1722" s="320">
        <f>'ESCOLA PAROQUIAL BOM JESUS'!D19</f>
        <v/>
      </c>
    </row>
    <row r="1723" ht="15" customHeight="1" s="163">
      <c r="A1723" s="319">
        <f>'ESCOLA PAROQUIAL BOM JESUS'!I20</f>
        <v/>
      </c>
      <c r="B1723" s="320">
        <f>'ESCOLA PAROQUIAL BOM JESUS'!D20</f>
        <v/>
      </c>
    </row>
    <row r="1724" ht="15" customHeight="1" s="163">
      <c r="A1724" s="319">
        <f>'ESCOLA PAROQUIAL BOM JESUS'!I21</f>
        <v/>
      </c>
      <c r="B1724" s="320">
        <f>'ESCOLA PAROQUIAL BOM JESUS'!D21</f>
        <v/>
      </c>
    </row>
    <row r="1725" ht="15" customHeight="1" s="163">
      <c r="A1725" s="319">
        <f>'ESCOLA PAROQUIAL BOM JESUS'!I22</f>
        <v/>
      </c>
      <c r="B1725" s="320">
        <f>'ESCOLA PAROQUIAL BOM JESUS'!D22</f>
        <v/>
      </c>
    </row>
    <row r="1726" ht="15" customHeight="1" s="163">
      <c r="A1726" s="319">
        <f>'ESCOLA PAROQUIAL BOM JESUS'!I23</f>
        <v/>
      </c>
      <c r="B1726" s="320">
        <f>'ESCOLA PAROQUIAL BOM JESUS'!D23</f>
        <v/>
      </c>
    </row>
    <row r="1727" ht="15" customHeight="1" s="163">
      <c r="A1727" s="319">
        <f>'ESCOLA PAROQUIAL BOM JESUS'!I24</f>
        <v/>
      </c>
      <c r="B1727" s="320">
        <f>'ESCOLA PAROQUIAL BOM JESUS'!D24</f>
        <v/>
      </c>
    </row>
    <row r="1728" ht="15" customHeight="1" s="163">
      <c r="A1728" s="319">
        <f>'ESCOLA PAROQUIAL BOM JESUS'!I25</f>
        <v/>
      </c>
      <c r="B1728" s="320">
        <f>'ESCOLA PAROQUIAL BOM JESUS'!D25</f>
        <v/>
      </c>
    </row>
    <row r="1729" ht="15" customHeight="1" s="163">
      <c r="A1729" s="319">
        <f>'ESCOLA PAROQUIAL BOM JESUS'!I26</f>
        <v/>
      </c>
      <c r="B1729" s="320">
        <f>'ESCOLA PAROQUIAL BOM JESUS'!D26</f>
        <v/>
      </c>
    </row>
    <row r="1730" ht="15" customHeight="1" s="163">
      <c r="A1730" s="319">
        <f>'ESCOLA PAROQUIAL BOM JESUS'!I27</f>
        <v/>
      </c>
      <c r="B1730" s="320">
        <f>'ESCOLA PAROQUIAL BOM JESUS'!D27</f>
        <v/>
      </c>
    </row>
    <row r="1731" ht="15" customHeight="1" s="163">
      <c r="A1731" s="319">
        <f>'ESCOLA PAROQUIAL CARLOS DEMIÁ'!I9</f>
        <v/>
      </c>
      <c r="B1731" s="320">
        <f>'ESCOLA PAROQUIAL CARLOS DEMIÁ'!D9</f>
        <v/>
      </c>
    </row>
    <row r="1732" ht="15" customHeight="1" s="163">
      <c r="A1732" s="319">
        <f>'ESCOLA PAROQUIAL CARLOS DEMIÁ'!I10</f>
        <v/>
      </c>
      <c r="B1732" s="320">
        <f>'ESCOLA PAROQUIAL CARLOS DEMIÁ'!D10</f>
        <v/>
      </c>
    </row>
    <row r="1733" ht="15" customHeight="1" s="163">
      <c r="A1733" s="319">
        <f>'ESCOLA PAROQUIAL CARLOS DEMIÁ'!I11</f>
        <v/>
      </c>
      <c r="B1733" s="320">
        <f>'ESCOLA PAROQUIAL CARLOS DEMIÁ'!D11</f>
        <v/>
      </c>
    </row>
    <row r="1734" ht="15" customHeight="1" s="163">
      <c r="A1734" s="319">
        <f>'ESCOLA PAROQUIAL CARLOS DEMIÁ'!I12</f>
        <v/>
      </c>
      <c r="B1734" s="320">
        <f>'ESCOLA PAROQUIAL CARLOS DEMIÁ'!D12</f>
        <v/>
      </c>
    </row>
    <row r="1735" ht="15" customHeight="1" s="163">
      <c r="A1735" s="319">
        <f>'ESCOLA PAROQUIAL CARLOS DEMIÁ'!I13</f>
        <v/>
      </c>
      <c r="B1735" s="320">
        <f>'ESCOLA PAROQUIAL CARLOS DEMIÁ'!D13</f>
        <v/>
      </c>
    </row>
    <row r="1736" ht="15" customHeight="1" s="163">
      <c r="A1736" s="319">
        <f>'ESCOLA PAROQUIAL CARLOS DEMIÁ'!I14</f>
        <v/>
      </c>
      <c r="B1736" s="320">
        <f>'ESCOLA PAROQUIAL CARLOS DEMIÁ'!D14</f>
        <v/>
      </c>
    </row>
    <row r="1737" ht="15" customHeight="1" s="163">
      <c r="A1737" s="319">
        <f>'ESCOLA PAROQUIAL CARLOS DEMIÁ'!I15</f>
        <v/>
      </c>
      <c r="B1737" s="320">
        <f>'ESCOLA PAROQUIAL CARLOS DEMIÁ'!D15</f>
        <v/>
      </c>
    </row>
    <row r="1738" ht="15" customHeight="1" s="163">
      <c r="A1738" s="319">
        <f>'ESCOLA PAROQUIAL CARLOS DEMIÁ'!I16</f>
        <v/>
      </c>
      <c r="B1738" s="320">
        <f>'ESCOLA PAROQUIAL CARLOS DEMIÁ'!D16</f>
        <v/>
      </c>
    </row>
    <row r="1739" ht="15" customHeight="1" s="163">
      <c r="A1739" s="319">
        <f>'ESCOLA PAROQUIAL CARLOS DEMIÁ'!I17</f>
        <v/>
      </c>
      <c r="B1739" s="320">
        <f>'ESCOLA PAROQUIAL CARLOS DEMIÁ'!D17</f>
        <v/>
      </c>
    </row>
    <row r="1740" ht="15" customHeight="1" s="163">
      <c r="A1740" s="319">
        <f>'ESCOLA PAROQUIAL CARLOS DEMIÁ'!I18</f>
        <v/>
      </c>
      <c r="B1740" s="320">
        <f>'ESCOLA PAROQUIAL CARLOS DEMIÁ'!D18</f>
        <v/>
      </c>
    </row>
    <row r="1741" ht="15" customHeight="1" s="163">
      <c r="A1741" s="319">
        <f>'ESCOLA PAROQUIAL CARLOS DEMIÁ'!I19</f>
        <v/>
      </c>
      <c r="B1741" s="320">
        <f>'ESCOLA PAROQUIAL CARLOS DEMIÁ'!D19</f>
        <v/>
      </c>
    </row>
    <row r="1742" ht="15" customHeight="1" s="163">
      <c r="A1742" s="319">
        <f>'ESCOLA PAROQUIAL CARLOS DEMIÁ'!I20</f>
        <v/>
      </c>
      <c r="B1742" s="320">
        <f>'ESCOLA PAROQUIAL CARLOS DEMIÁ'!D20</f>
        <v/>
      </c>
    </row>
    <row r="1743" ht="15" customHeight="1" s="163">
      <c r="A1743" s="319">
        <f>'ESCOLA PAROQUIAL CARLOS DEMIÁ'!I21</f>
        <v/>
      </c>
      <c r="B1743" s="320">
        <f>'ESCOLA PAROQUIAL CARLOS DEMIÁ'!D21</f>
        <v/>
      </c>
    </row>
    <row r="1744" ht="15" customHeight="1" s="163">
      <c r="A1744" s="319">
        <f>'ESCOLA PAROQUIAL CARLOS DEMIÁ'!I22</f>
        <v/>
      </c>
      <c r="B1744" s="320">
        <f>'ESCOLA PAROQUIAL CARLOS DEMIÁ'!D22</f>
        <v/>
      </c>
    </row>
    <row r="1745" ht="15" customHeight="1" s="163">
      <c r="A1745" s="319">
        <f>'ESCOLA PAROQUIAL CARLOS DEMIÁ'!I23</f>
        <v/>
      </c>
      <c r="B1745" s="320">
        <f>'ESCOLA PAROQUIAL CARLOS DEMIÁ'!D23</f>
        <v/>
      </c>
    </row>
    <row r="1746" ht="15" customHeight="1" s="163">
      <c r="A1746" s="319">
        <f>'ESCOLA PAROQUIAL CARLOS DEMIÁ'!I24</f>
        <v/>
      </c>
      <c r="B1746" s="320">
        <f>'ESCOLA PAROQUIAL CARLOS DEMIÁ'!D24</f>
        <v/>
      </c>
    </row>
    <row r="1747" ht="15" customHeight="1" s="163">
      <c r="A1747" s="319">
        <f>'ESCOLA PAROQUIAL CARLOS DEMIÁ'!I25</f>
        <v/>
      </c>
      <c r="B1747" s="320">
        <f>'ESCOLA PAROQUIAL CARLOS DEMIÁ'!D25</f>
        <v/>
      </c>
    </row>
    <row r="1748" ht="15" customHeight="1" s="163">
      <c r="A1748" s="319">
        <f>'ESCOLA PAROQUIAL CARLOS DEMIÁ'!I26</f>
        <v/>
      </c>
      <c r="B1748" s="320">
        <f>'ESCOLA PAROQUIAL CARLOS DEMIÁ'!D26</f>
        <v/>
      </c>
    </row>
    <row r="1749" ht="15" customHeight="1" s="163">
      <c r="A1749" s="319">
        <f>'ESCOLA PAROQUIAL CARLOS DEMIÁ'!I27</f>
        <v/>
      </c>
      <c r="B1749" s="320">
        <f>'ESCOLA PAROQUIAL CARLOS DEMIÁ'!D27</f>
        <v/>
      </c>
    </row>
    <row r="1750" ht="15" customHeight="1" s="163">
      <c r="A1750" s="319">
        <f>'ESCOLA PAROQUIAL NOSSA SENHO 2'!I9</f>
        <v/>
      </c>
      <c r="B1750" s="320">
        <f>'ESCOLA PAROQUIAL NOSSA SENHO 2'!D9</f>
        <v/>
      </c>
    </row>
    <row r="1751" ht="15" customHeight="1" s="163">
      <c r="A1751" s="319">
        <f>'ESCOLA PAROQUIAL NOSSA SENHO 2'!I10</f>
        <v/>
      </c>
      <c r="B1751" s="320">
        <f>'ESCOLA PAROQUIAL NOSSA SENHO 2'!D10</f>
        <v/>
      </c>
    </row>
    <row r="1752" ht="15" customHeight="1" s="163">
      <c r="A1752" s="319">
        <f>'ESCOLA PAROQUIAL NOSSA SENHO 2'!I11</f>
        <v/>
      </c>
      <c r="B1752" s="320">
        <f>'ESCOLA PAROQUIAL NOSSA SENHO 2'!D11</f>
        <v/>
      </c>
    </row>
    <row r="1753" ht="15" customHeight="1" s="163">
      <c r="A1753" s="319">
        <f>'ESCOLA PAROQUIAL NOSSA SENHO 2'!I12</f>
        <v/>
      </c>
      <c r="B1753" s="320">
        <f>'ESCOLA PAROQUIAL NOSSA SENHO 2'!D12</f>
        <v/>
      </c>
    </row>
    <row r="1754" ht="15" customHeight="1" s="163">
      <c r="A1754" s="319">
        <f>'ESCOLA PAROQUIAL NOSSA SENHO 2'!I13</f>
        <v/>
      </c>
      <c r="B1754" s="320">
        <f>'ESCOLA PAROQUIAL NOSSA SENHO 2'!D13</f>
        <v/>
      </c>
    </row>
    <row r="1755" ht="15" customHeight="1" s="163">
      <c r="A1755" s="319">
        <f>'ESCOLA PAROQUIAL NOSSA SENHO 2'!I14</f>
        <v/>
      </c>
      <c r="B1755" s="320">
        <f>'ESCOLA PAROQUIAL NOSSA SENHO 2'!D14</f>
        <v/>
      </c>
    </row>
    <row r="1756" ht="15" customHeight="1" s="163">
      <c r="A1756" s="319">
        <f>'ESCOLA PAROQUIAL NOSSA SENHO 2'!I15</f>
        <v/>
      </c>
      <c r="B1756" s="320">
        <f>'ESCOLA PAROQUIAL NOSSA SENHO 2'!D15</f>
        <v/>
      </c>
    </row>
    <row r="1757" ht="15" customHeight="1" s="163">
      <c r="A1757" s="319">
        <f>'ESCOLA PAROQUIAL NOSSA SENHO 2'!I16</f>
        <v/>
      </c>
      <c r="B1757" s="320">
        <f>'ESCOLA PAROQUIAL NOSSA SENHO 2'!D16</f>
        <v/>
      </c>
    </row>
    <row r="1758" ht="15" customHeight="1" s="163">
      <c r="A1758" s="319">
        <f>'ESCOLA PAROQUIAL NOSSA SENHO 2'!I17</f>
        <v/>
      </c>
      <c r="B1758" s="320">
        <f>'ESCOLA PAROQUIAL NOSSA SENHO 2'!D17</f>
        <v/>
      </c>
    </row>
    <row r="1759" ht="15" customHeight="1" s="163">
      <c r="A1759" s="319">
        <f>'ESCOLA PAROQUIAL NOSSA SENHO 2'!I18</f>
        <v/>
      </c>
      <c r="B1759" s="320">
        <f>'ESCOLA PAROQUIAL NOSSA SENHO 2'!D18</f>
        <v/>
      </c>
    </row>
    <row r="1760" ht="15" customHeight="1" s="163">
      <c r="A1760" s="319">
        <f>'ESCOLA PAROQUIAL NOSSA SENHO 2'!I19</f>
        <v/>
      </c>
      <c r="B1760" s="320">
        <f>'ESCOLA PAROQUIAL NOSSA SENHO 2'!D19</f>
        <v/>
      </c>
    </row>
    <row r="1761" ht="15" customHeight="1" s="163">
      <c r="A1761" s="319">
        <f>'ESCOLA PAROQUIAL NOSSA SENHO 2'!I20</f>
        <v/>
      </c>
      <c r="B1761" s="320">
        <f>'ESCOLA PAROQUIAL NOSSA SENHO 2'!D20</f>
        <v/>
      </c>
    </row>
    <row r="1762" ht="15" customHeight="1" s="163">
      <c r="A1762" s="319">
        <f>'ESCOLA PAROQUIAL NOSSA SENHO 2'!I21</f>
        <v/>
      </c>
      <c r="B1762" s="320">
        <f>'ESCOLA PAROQUIAL NOSSA SENHO 2'!D21</f>
        <v/>
      </c>
    </row>
    <row r="1763" ht="15" customHeight="1" s="163">
      <c r="A1763" s="319">
        <f>'ESCOLA PAROQUIAL NOSSA SENHO 2'!I22</f>
        <v/>
      </c>
      <c r="B1763" s="320">
        <f>'ESCOLA PAROQUIAL NOSSA SENHO 2'!D22</f>
        <v/>
      </c>
    </row>
    <row r="1764" ht="15" customHeight="1" s="163">
      <c r="A1764" s="319">
        <f>'ESCOLA PAROQUIAL NOSSA SENHO 2'!I23</f>
        <v/>
      </c>
      <c r="B1764" s="320">
        <f>'ESCOLA PAROQUIAL NOSSA SENHO 2'!D23</f>
        <v/>
      </c>
    </row>
    <row r="1765" ht="15" customHeight="1" s="163">
      <c r="A1765" s="319">
        <f>'ESCOLA PAROQUIAL NOSSA SENHO 2'!I24</f>
        <v/>
      </c>
      <c r="B1765" s="320">
        <f>'ESCOLA PAROQUIAL NOSSA SENHO 2'!D24</f>
        <v/>
      </c>
    </row>
    <row r="1766" ht="15" customHeight="1" s="163">
      <c r="A1766" s="319">
        <f>'ESCOLA PAROQUIAL NOSSA SENHO 2'!I25</f>
        <v/>
      </c>
      <c r="B1766" s="320">
        <f>'ESCOLA PAROQUIAL NOSSA SENHO 2'!D25</f>
        <v/>
      </c>
    </row>
    <row r="1767" ht="15" customHeight="1" s="163">
      <c r="A1767" s="319">
        <f>'ESCOLA PAROQUIAL NOSSA SENHO 2'!I26</f>
        <v/>
      </c>
      <c r="B1767" s="320">
        <f>'ESCOLA PAROQUIAL NOSSA SENHO 2'!D26</f>
        <v/>
      </c>
    </row>
    <row r="1768" ht="15" customHeight="1" s="163">
      <c r="A1768" s="319">
        <f>'ESCOLA PAROQUIAL NOSSA SENHO 2'!I27</f>
        <v/>
      </c>
      <c r="B1768" s="320">
        <f>'ESCOLA PAROQUIAL NOSSA SENHO 2'!D27</f>
        <v/>
      </c>
    </row>
    <row r="1769" ht="15" customHeight="1" s="163">
      <c r="A1769" s="319">
        <f>'ESCOLA PAROQUIAL NOSSA SENHORA '!I9</f>
        <v/>
      </c>
      <c r="B1769" s="320">
        <f>'ESCOLA PAROQUIAL NOSSA SENHORA '!D9</f>
        <v/>
      </c>
    </row>
    <row r="1770" ht="15" customHeight="1" s="163">
      <c r="A1770" s="319">
        <f>'ESCOLA PAROQUIAL NOSSA SENHORA '!I10</f>
        <v/>
      </c>
      <c r="B1770" s="320">
        <f>'ESCOLA PAROQUIAL NOSSA SENHORA '!D10</f>
        <v/>
      </c>
    </row>
    <row r="1771" ht="15" customHeight="1" s="163">
      <c r="A1771" s="319">
        <f>'ESCOLA PAROQUIAL NOSSA SENHORA '!I11</f>
        <v/>
      </c>
      <c r="B1771" s="320">
        <f>'ESCOLA PAROQUIAL NOSSA SENHORA '!D11</f>
        <v/>
      </c>
    </row>
    <row r="1772" ht="15" customHeight="1" s="163">
      <c r="A1772" s="319">
        <f>'ESCOLA PAROQUIAL NOSSA SENHORA '!I12</f>
        <v/>
      </c>
      <c r="B1772" s="320">
        <f>'ESCOLA PAROQUIAL NOSSA SENHORA '!D12</f>
        <v/>
      </c>
    </row>
    <row r="1773" ht="15" customHeight="1" s="163">
      <c r="A1773" s="319">
        <f>'ESCOLA PAROQUIAL NOSSA SENHORA '!I13</f>
        <v/>
      </c>
      <c r="B1773" s="320">
        <f>'ESCOLA PAROQUIAL NOSSA SENHORA '!D13</f>
        <v/>
      </c>
    </row>
    <row r="1774" ht="15" customHeight="1" s="163">
      <c r="A1774" s="319">
        <f>'ESCOLA PAROQUIAL NOSSA SENHORA '!I14</f>
        <v/>
      </c>
      <c r="B1774" s="320">
        <f>'ESCOLA PAROQUIAL NOSSA SENHORA '!D14</f>
        <v/>
      </c>
    </row>
    <row r="1775" ht="15" customHeight="1" s="163">
      <c r="A1775" s="319">
        <f>'ESCOLA PAROQUIAL NOSSA SENHORA '!I15</f>
        <v/>
      </c>
      <c r="B1775" s="320">
        <f>'ESCOLA PAROQUIAL NOSSA SENHORA '!D15</f>
        <v/>
      </c>
    </row>
    <row r="1776" ht="15" customHeight="1" s="163">
      <c r="A1776" s="319">
        <f>'ESCOLA PAROQUIAL NOSSA SENHORA '!I16</f>
        <v/>
      </c>
      <c r="B1776" s="320">
        <f>'ESCOLA PAROQUIAL NOSSA SENHORA '!D16</f>
        <v/>
      </c>
    </row>
    <row r="1777" ht="15" customHeight="1" s="163">
      <c r="A1777" s="319">
        <f>'ESCOLA PAROQUIAL NOSSA SENHORA '!I17</f>
        <v/>
      </c>
      <c r="B1777" s="320">
        <f>'ESCOLA PAROQUIAL NOSSA SENHORA '!D17</f>
        <v/>
      </c>
    </row>
    <row r="1778" ht="15" customHeight="1" s="163">
      <c r="A1778" s="319">
        <f>'ESCOLA PAROQUIAL NOSSA SENHORA '!I18</f>
        <v/>
      </c>
      <c r="B1778" s="320">
        <f>'ESCOLA PAROQUIAL NOSSA SENHORA '!D18</f>
        <v/>
      </c>
    </row>
    <row r="1779" ht="15" customHeight="1" s="163">
      <c r="A1779" s="319">
        <f>'ESCOLA PAROQUIAL NOSSA SENHORA '!I19</f>
        <v/>
      </c>
      <c r="B1779" s="320">
        <f>'ESCOLA PAROQUIAL NOSSA SENHORA '!D19</f>
        <v/>
      </c>
    </row>
    <row r="1780" ht="15" customHeight="1" s="163">
      <c r="A1780" s="319">
        <f>'ESCOLA PAROQUIAL NOSSA SENHORA '!I20</f>
        <v/>
      </c>
      <c r="B1780" s="320">
        <f>'ESCOLA PAROQUIAL NOSSA SENHORA '!D20</f>
        <v/>
      </c>
    </row>
    <row r="1781" ht="15" customHeight="1" s="163">
      <c r="A1781" s="319">
        <f>'ESCOLA PAROQUIAL NOSSA SENHORA '!I21</f>
        <v/>
      </c>
      <c r="B1781" s="320">
        <f>'ESCOLA PAROQUIAL NOSSA SENHORA '!D21</f>
        <v/>
      </c>
    </row>
    <row r="1782" ht="15" customHeight="1" s="163">
      <c r="A1782" s="319">
        <f>'ESCOLA PAROQUIAL NOSSA SENHORA '!I22</f>
        <v/>
      </c>
      <c r="B1782" s="320">
        <f>'ESCOLA PAROQUIAL NOSSA SENHORA '!D22</f>
        <v/>
      </c>
    </row>
    <row r="1783" ht="15" customHeight="1" s="163">
      <c r="A1783" s="319">
        <f>'ESCOLA PAROQUIAL NOSSA SENHORA '!I23</f>
        <v/>
      </c>
      <c r="B1783" s="320">
        <f>'ESCOLA PAROQUIAL NOSSA SENHORA '!D23</f>
        <v/>
      </c>
    </row>
    <row r="1784" ht="15" customHeight="1" s="163">
      <c r="A1784" s="319">
        <f>'ESCOLA PAROQUIAL NOSSA SENHORA '!I24</f>
        <v/>
      </c>
      <c r="B1784" s="320">
        <f>'ESCOLA PAROQUIAL NOSSA SENHORA '!D24</f>
        <v/>
      </c>
    </row>
    <row r="1785" ht="15" customHeight="1" s="163">
      <c r="A1785" s="319">
        <f>'ESCOLA PAROQUIAL NOSSA SENHORA '!I25</f>
        <v/>
      </c>
      <c r="B1785" s="320">
        <f>'ESCOLA PAROQUIAL NOSSA SENHORA '!D25</f>
        <v/>
      </c>
    </row>
    <row r="1786" ht="15" customHeight="1" s="163">
      <c r="A1786" s="319">
        <f>'ESCOLA PAROQUIAL NOSSA SENHORA '!I26</f>
        <v/>
      </c>
      <c r="B1786" s="320">
        <f>'ESCOLA PAROQUIAL NOSSA SENHORA '!D26</f>
        <v/>
      </c>
    </row>
    <row r="1787" ht="15" customHeight="1" s="163">
      <c r="A1787" s="319">
        <f>'ESCOLA PAROQUIAL NOSSA SENHORA '!I27</f>
        <v/>
      </c>
      <c r="B1787" s="320">
        <f>'ESCOLA PAROQUIAL NOSSA SENHORA '!D27</f>
        <v/>
      </c>
    </row>
    <row r="1788" ht="15" customHeight="1" s="163">
      <c r="A1788" s="319">
        <f>'ESCOLA PAROQUIAL SÃO PEDRO DE A'!I9</f>
        <v/>
      </c>
      <c r="B1788" s="320">
        <f>'ESCOLA PAROQUIAL SÃO PEDRO DE A'!D9</f>
        <v/>
      </c>
    </row>
    <row r="1789" ht="15" customHeight="1" s="163">
      <c r="A1789" s="319">
        <f>'ESCOLA PAROQUIAL SÃO PEDRO DE A'!I10</f>
        <v/>
      </c>
      <c r="B1789" s="320">
        <f>'ESCOLA PAROQUIAL SÃO PEDRO DE A'!D10</f>
        <v/>
      </c>
    </row>
    <row r="1790" ht="15" customHeight="1" s="163">
      <c r="A1790" s="319">
        <f>'ESCOLA PAROQUIAL SÃO PEDRO DE A'!I11</f>
        <v/>
      </c>
      <c r="B1790" s="320">
        <f>'ESCOLA PAROQUIAL SÃO PEDRO DE A'!D11</f>
        <v/>
      </c>
    </row>
    <row r="1791" ht="15" customHeight="1" s="163">
      <c r="A1791" s="319">
        <f>'ESCOLA PAROQUIAL SÃO PEDRO DE A'!I12</f>
        <v/>
      </c>
      <c r="B1791" s="320">
        <f>'ESCOLA PAROQUIAL SÃO PEDRO DE A'!D12</f>
        <v/>
      </c>
    </row>
    <row r="1792" ht="15" customHeight="1" s="163">
      <c r="A1792" s="319">
        <f>'ESCOLA PAROQUIAL SÃO PEDRO DE A'!I13</f>
        <v/>
      </c>
      <c r="B1792" s="320">
        <f>'ESCOLA PAROQUIAL SÃO PEDRO DE A'!D13</f>
        <v/>
      </c>
    </row>
    <row r="1793" ht="15" customHeight="1" s="163">
      <c r="A1793" s="319">
        <f>'ESCOLA PAROQUIAL SÃO PEDRO DE A'!I14</f>
        <v/>
      </c>
      <c r="B1793" s="320">
        <f>'ESCOLA PAROQUIAL SÃO PEDRO DE A'!D14</f>
        <v/>
      </c>
    </row>
    <row r="1794" ht="15" customHeight="1" s="163">
      <c r="A1794" s="319">
        <f>'ESCOLA PAROQUIAL SÃO PEDRO DE A'!I15</f>
        <v/>
      </c>
      <c r="B1794" s="320">
        <f>'ESCOLA PAROQUIAL SÃO PEDRO DE A'!D15</f>
        <v/>
      </c>
    </row>
    <row r="1795" ht="15" customHeight="1" s="163">
      <c r="A1795" s="319">
        <f>'ESCOLA PAROQUIAL SÃO PEDRO DE A'!I16</f>
        <v/>
      </c>
      <c r="B1795" s="320">
        <f>'ESCOLA PAROQUIAL SÃO PEDRO DE A'!D16</f>
        <v/>
      </c>
    </row>
    <row r="1796" ht="15" customHeight="1" s="163">
      <c r="A1796" s="319">
        <f>'ESCOLA PAROQUIAL SÃO PEDRO DE A'!I17</f>
        <v/>
      </c>
      <c r="B1796" s="320">
        <f>'ESCOLA PAROQUIAL SÃO PEDRO DE A'!D17</f>
        <v/>
      </c>
    </row>
    <row r="1797" ht="15" customHeight="1" s="163">
      <c r="A1797" s="319">
        <f>'ESCOLA PAROQUIAL SÃO PEDRO DE A'!I18</f>
        <v/>
      </c>
      <c r="B1797" s="320">
        <f>'ESCOLA PAROQUIAL SÃO PEDRO DE A'!D18</f>
        <v/>
      </c>
    </row>
    <row r="1798" ht="15" customHeight="1" s="163">
      <c r="A1798" s="319">
        <f>'ESCOLA PAROQUIAL SÃO PEDRO DE A'!I19</f>
        <v/>
      </c>
      <c r="B1798" s="320">
        <f>'ESCOLA PAROQUIAL SÃO PEDRO DE A'!D19</f>
        <v/>
      </c>
    </row>
    <row r="1799" ht="15" customHeight="1" s="163">
      <c r="A1799" s="319">
        <f>'ESCOLA PAROQUIAL SÃO PEDRO DE A'!I20</f>
        <v/>
      </c>
      <c r="B1799" s="320">
        <f>'ESCOLA PAROQUIAL SÃO PEDRO DE A'!D20</f>
        <v/>
      </c>
    </row>
    <row r="1800" ht="15" customHeight="1" s="163">
      <c r="A1800" s="319">
        <f>'ESCOLA PAROQUIAL SÃO PEDRO DE A'!I21</f>
        <v/>
      </c>
      <c r="B1800" s="320">
        <f>'ESCOLA PAROQUIAL SÃO PEDRO DE A'!D21</f>
        <v/>
      </c>
    </row>
    <row r="1801" ht="15" customHeight="1" s="163">
      <c r="A1801" s="319">
        <f>'ESCOLA PAROQUIAL SÃO PEDRO DE A'!I22</f>
        <v/>
      </c>
      <c r="B1801" s="320">
        <f>'ESCOLA PAROQUIAL SÃO PEDRO DE A'!D22</f>
        <v/>
      </c>
    </row>
    <row r="1802" ht="15" customHeight="1" s="163">
      <c r="A1802" s="319">
        <f>'ESCOLA PAROQUIAL SÃO PEDRO DE A'!I23</f>
        <v/>
      </c>
      <c r="B1802" s="320">
        <f>'ESCOLA PAROQUIAL SÃO PEDRO DE A'!D23</f>
        <v/>
      </c>
    </row>
    <row r="1803" ht="15" customHeight="1" s="163">
      <c r="A1803" s="319">
        <f>'ESCOLA PAROQUIAL SÃO PEDRO DE A'!I24</f>
        <v/>
      </c>
      <c r="B1803" s="320">
        <f>'ESCOLA PAROQUIAL SÃO PEDRO DE A'!D24</f>
        <v/>
      </c>
    </row>
    <row r="1804" ht="15" customHeight="1" s="163">
      <c r="A1804" s="319">
        <f>'ESCOLA PAROQUIAL SÃO PEDRO DE A'!I25</f>
        <v/>
      </c>
      <c r="B1804" s="320">
        <f>'ESCOLA PAROQUIAL SÃO PEDRO DE A'!D25</f>
        <v/>
      </c>
    </row>
    <row r="1805" ht="15" customHeight="1" s="163">
      <c r="A1805" s="319">
        <f>'ESCOLA PAROQUIAL SÃO PEDRO DE A'!I26</f>
        <v/>
      </c>
      <c r="B1805" s="320">
        <f>'ESCOLA PAROQUIAL SÃO PEDRO DE A'!D26</f>
        <v/>
      </c>
    </row>
    <row r="1806" ht="15" customHeight="1" s="163">
      <c r="A1806" s="319">
        <f>'ESCOLA PAROQUIAL SÃO PEDRO DE A'!I27</f>
        <v/>
      </c>
      <c r="B1806" s="320">
        <f>'ESCOLA PAROQUIAL SÃO PEDRO DE A'!D27</f>
        <v/>
      </c>
    </row>
    <row r="1807" ht="15" customHeight="1" s="163">
      <c r="A1807" s="319">
        <f>'ESCOLA SANTA MARIA GORETTI'!I9</f>
        <v/>
      </c>
      <c r="B1807" s="320">
        <f>'ESCOLA SANTA MARIA GORETTI'!D9</f>
        <v/>
      </c>
    </row>
    <row r="1808" ht="15" customHeight="1" s="163">
      <c r="A1808" s="319">
        <f>'ESCOLA SANTA MARIA GORETTI'!I10</f>
        <v/>
      </c>
      <c r="B1808" s="320">
        <f>'ESCOLA SANTA MARIA GORETTI'!D10</f>
        <v/>
      </c>
    </row>
    <row r="1809" ht="15" customHeight="1" s="163">
      <c r="A1809" s="319">
        <f>'ESCOLA SANTA MARIA GORETTI'!I11</f>
        <v/>
      </c>
      <c r="B1809" s="320">
        <f>'ESCOLA SANTA MARIA GORETTI'!D11</f>
        <v/>
      </c>
    </row>
    <row r="1810" ht="15" customHeight="1" s="163">
      <c r="A1810" s="319">
        <f>'ESCOLA SANTA MARIA GORETTI'!I12</f>
        <v/>
      </c>
      <c r="B1810" s="320">
        <f>'ESCOLA SANTA MARIA GORETTI'!D12</f>
        <v/>
      </c>
    </row>
    <row r="1811" ht="15" customHeight="1" s="163">
      <c r="A1811" s="319">
        <f>'ESCOLA SANTA MARIA GORETTI'!I13</f>
        <v/>
      </c>
      <c r="B1811" s="320">
        <f>'ESCOLA SANTA MARIA GORETTI'!D13</f>
        <v/>
      </c>
    </row>
    <row r="1812" ht="15" customHeight="1" s="163">
      <c r="A1812" s="319">
        <f>'ESCOLA SANTA MARIA GORETTI'!I14</f>
        <v/>
      </c>
      <c r="B1812" s="320">
        <f>'ESCOLA SANTA MARIA GORETTI'!D14</f>
        <v/>
      </c>
    </row>
    <row r="1813" ht="15" customHeight="1" s="163">
      <c r="A1813" s="319">
        <f>'ESCOLA SANTA MARIA GORETTI'!I15</f>
        <v/>
      </c>
      <c r="B1813" s="320">
        <f>'ESCOLA SANTA MARIA GORETTI'!D15</f>
        <v/>
      </c>
    </row>
    <row r="1814" ht="15" customHeight="1" s="163">
      <c r="A1814" s="319">
        <f>'ESCOLA SANTA MARIA GORETTI'!I16</f>
        <v/>
      </c>
      <c r="B1814" s="320">
        <f>'ESCOLA SANTA MARIA GORETTI'!D16</f>
        <v/>
      </c>
    </row>
    <row r="1815" ht="15" customHeight="1" s="163">
      <c r="A1815" s="319">
        <f>'ESCOLA SANTA MARIA GORETTI'!I17</f>
        <v/>
      </c>
      <c r="B1815" s="320">
        <f>'ESCOLA SANTA MARIA GORETTI'!D17</f>
        <v/>
      </c>
    </row>
    <row r="1816" ht="15" customHeight="1" s="163">
      <c r="A1816" s="319">
        <f>'ESCOLA SANTA MARIA GORETTI'!I18</f>
        <v/>
      </c>
      <c r="B1816" s="320">
        <f>'ESCOLA SANTA MARIA GORETTI'!D18</f>
        <v/>
      </c>
    </row>
    <row r="1817" ht="15" customHeight="1" s="163">
      <c r="A1817" s="319">
        <f>'ESCOLA SANTA MARIA GORETTI'!I19</f>
        <v/>
      </c>
      <c r="B1817" s="320">
        <f>'ESCOLA SANTA MARIA GORETTI'!D19</f>
        <v/>
      </c>
    </row>
    <row r="1818" ht="15" customHeight="1" s="163">
      <c r="A1818" s="319">
        <f>'ESCOLA SANTA MARIA GORETTI'!I20</f>
        <v/>
      </c>
      <c r="B1818" s="320">
        <f>'ESCOLA SANTA MARIA GORETTI'!D20</f>
        <v/>
      </c>
    </row>
    <row r="1819" ht="15" customHeight="1" s="163">
      <c r="A1819" s="319">
        <f>'ESCOLA SANTA MARIA GORETTI'!I21</f>
        <v/>
      </c>
      <c r="B1819" s="320">
        <f>'ESCOLA SANTA MARIA GORETTI'!D21</f>
        <v/>
      </c>
    </row>
    <row r="1820" ht="15" customHeight="1" s="163">
      <c r="A1820" s="319">
        <f>'ESCOLA SANTA MARIA GORETTI'!I22</f>
        <v/>
      </c>
      <c r="B1820" s="320">
        <f>'ESCOLA SANTA MARIA GORETTI'!D22</f>
        <v/>
      </c>
    </row>
    <row r="1821" ht="15" customHeight="1" s="163">
      <c r="A1821" s="319">
        <f>'ESCOLA SANTA MARIA GORETTI'!I23</f>
        <v/>
      </c>
      <c r="B1821" s="320">
        <f>'ESCOLA SANTA MARIA GORETTI'!D23</f>
        <v/>
      </c>
    </row>
    <row r="1822" ht="15" customHeight="1" s="163">
      <c r="A1822" s="319">
        <f>'ESCOLA SANTA MARIA GORETTI'!I24</f>
        <v/>
      </c>
      <c r="B1822" s="320">
        <f>'ESCOLA SANTA MARIA GORETTI'!D24</f>
        <v/>
      </c>
    </row>
    <row r="1823" ht="15" customHeight="1" s="163">
      <c r="A1823" s="319">
        <f>'ESCOLA SANTA MARIA GORETTI'!I25</f>
        <v/>
      </c>
      <c r="B1823" s="320">
        <f>'ESCOLA SANTA MARIA GORETTI'!D25</f>
        <v/>
      </c>
    </row>
    <row r="1824" ht="15" customHeight="1" s="163">
      <c r="A1824" s="319">
        <f>'ESCOLA SANTA MARIA GORETTI'!I26</f>
        <v/>
      </c>
      <c r="B1824" s="320">
        <f>'ESCOLA SANTA MARIA GORETTI'!D26</f>
        <v/>
      </c>
    </row>
    <row r="1825" ht="15" customHeight="1" s="163">
      <c r="A1825" s="319">
        <f>'ESCOLA SANTA MARIA GORETTI'!I27</f>
        <v/>
      </c>
      <c r="B1825" s="320">
        <f>'ESCOLA SANTA MARIA GORETTI'!D27</f>
        <v/>
      </c>
    </row>
    <row r="1826" ht="15" customHeight="1" s="163">
      <c r="A1826" s="319">
        <f>'ESCOLA SANTA RITA DE CASSIA'!I9</f>
        <v/>
      </c>
      <c r="B1826" s="320">
        <f>'ESCOLA SANTA RITA DE CASSIA'!D9</f>
        <v/>
      </c>
    </row>
    <row r="1827" ht="15" customHeight="1" s="163">
      <c r="A1827" s="319">
        <f>'ESCOLA SANTA RITA DE CASSIA'!I10</f>
        <v/>
      </c>
      <c r="B1827" s="320">
        <f>'ESCOLA SANTA RITA DE CASSIA'!D10</f>
        <v/>
      </c>
    </row>
    <row r="1828" ht="15" customHeight="1" s="163">
      <c r="A1828" s="319">
        <f>'ESCOLA SANTA RITA DE CASSIA'!I11</f>
        <v/>
      </c>
      <c r="B1828" s="320">
        <f>'ESCOLA SANTA RITA DE CASSIA'!D11</f>
        <v/>
      </c>
    </row>
    <row r="1829" ht="15" customHeight="1" s="163">
      <c r="A1829" s="319">
        <f>'ESCOLA SANTA RITA DE CASSIA'!I12</f>
        <v/>
      </c>
      <c r="B1829" s="320">
        <f>'ESCOLA SANTA RITA DE CASSIA'!D12</f>
        <v/>
      </c>
    </row>
    <row r="1830" ht="15" customHeight="1" s="163">
      <c r="A1830" s="319">
        <f>'ESCOLA SANTA RITA DE CASSIA'!I13</f>
        <v/>
      </c>
      <c r="B1830" s="320">
        <f>'ESCOLA SANTA RITA DE CASSIA'!D13</f>
        <v/>
      </c>
    </row>
    <row r="1831" ht="15" customHeight="1" s="163">
      <c r="A1831" s="319">
        <f>'ESCOLA SANTA RITA DE CASSIA'!I14</f>
        <v/>
      </c>
      <c r="B1831" s="320">
        <f>'ESCOLA SANTA RITA DE CASSIA'!D14</f>
        <v/>
      </c>
    </row>
    <row r="1832" ht="15" customHeight="1" s="163">
      <c r="A1832" s="319">
        <f>'ESCOLA SANTA RITA DE CASSIA'!I15</f>
        <v/>
      </c>
      <c r="B1832" s="320">
        <f>'ESCOLA SANTA RITA DE CASSIA'!D15</f>
        <v/>
      </c>
    </row>
    <row r="1833" ht="15" customHeight="1" s="163">
      <c r="A1833" s="319">
        <f>'ESCOLA SANTA RITA DE CASSIA'!I16</f>
        <v/>
      </c>
      <c r="B1833" s="320">
        <f>'ESCOLA SANTA RITA DE CASSIA'!D16</f>
        <v/>
      </c>
    </row>
    <row r="1834" ht="15" customHeight="1" s="163">
      <c r="A1834" s="319">
        <f>'ESCOLA SANTA RITA DE CASSIA'!I17</f>
        <v/>
      </c>
      <c r="B1834" s="320">
        <f>'ESCOLA SANTA RITA DE CASSIA'!D17</f>
        <v/>
      </c>
    </row>
    <row r="1835" ht="15" customHeight="1" s="163">
      <c r="A1835" s="319">
        <f>'ESCOLA SANTA RITA DE CASSIA'!I18</f>
        <v/>
      </c>
      <c r="B1835" s="320">
        <f>'ESCOLA SANTA RITA DE CASSIA'!D18</f>
        <v/>
      </c>
    </row>
    <row r="1836" ht="15" customHeight="1" s="163">
      <c r="A1836" s="319">
        <f>'ESCOLA SANTA RITA DE CASSIA'!I19</f>
        <v/>
      </c>
      <c r="B1836" s="320">
        <f>'ESCOLA SANTA RITA DE CASSIA'!D19</f>
        <v/>
      </c>
    </row>
    <row r="1837" ht="15" customHeight="1" s="163">
      <c r="A1837" s="319">
        <f>'ESCOLA SANTA RITA DE CASSIA'!I20</f>
        <v/>
      </c>
      <c r="B1837" s="320">
        <f>'ESCOLA SANTA RITA DE CASSIA'!D20</f>
        <v/>
      </c>
    </row>
    <row r="1838" ht="15" customHeight="1" s="163">
      <c r="A1838" s="319">
        <f>'ESCOLA SANTA RITA DE CASSIA'!I21</f>
        <v/>
      </c>
      <c r="B1838" s="320">
        <f>'ESCOLA SANTA RITA DE CASSIA'!D21</f>
        <v/>
      </c>
    </row>
    <row r="1839" ht="15" customHeight="1" s="163">
      <c r="A1839" s="319">
        <f>'ESCOLA SANTA RITA DE CASSIA'!I22</f>
        <v/>
      </c>
      <c r="B1839" s="320">
        <f>'ESCOLA SANTA RITA DE CASSIA'!D22</f>
        <v/>
      </c>
    </row>
    <row r="1840" ht="15" customHeight="1" s="163">
      <c r="A1840" s="319">
        <f>'ESCOLA SANTA RITA DE CASSIA'!I23</f>
        <v/>
      </c>
      <c r="B1840" s="320">
        <f>'ESCOLA SANTA RITA DE CASSIA'!D23</f>
        <v/>
      </c>
    </row>
    <row r="1841" ht="15" customHeight="1" s="163">
      <c r="A1841" s="319">
        <f>'ESCOLA SANTA RITA DE CASSIA'!I24</f>
        <v/>
      </c>
      <c r="B1841" s="320">
        <f>'ESCOLA SANTA RITA DE CASSIA'!D24</f>
        <v/>
      </c>
    </row>
    <row r="1842" ht="15" customHeight="1" s="163">
      <c r="A1842" s="319">
        <f>'ESCOLA SANTA RITA DE CASSIA'!I25</f>
        <v/>
      </c>
      <c r="B1842" s="320">
        <f>'ESCOLA SANTA RITA DE CASSIA'!D25</f>
        <v/>
      </c>
    </row>
    <row r="1843" ht="15" customHeight="1" s="163">
      <c r="A1843" s="319">
        <f>'ESCOLA SANTA RITA DE CASSIA'!I26</f>
        <v/>
      </c>
      <c r="B1843" s="320">
        <f>'ESCOLA SANTA RITA DE CASSIA'!D26</f>
        <v/>
      </c>
    </row>
    <row r="1844" ht="15" customHeight="1" s="163">
      <c r="A1844" s="319">
        <f>'ESCOLA SANTA RITA DE CASSIA'!I27</f>
        <v/>
      </c>
      <c r="B1844" s="320">
        <f>'ESCOLA SANTA RITA DE CASSIA'!D27</f>
        <v/>
      </c>
    </row>
    <row r="1845" ht="15" customHeight="1" s="163">
      <c r="A1845" s="319">
        <f>'ESCOLA SÃO CRISTÓVÃO'!I9</f>
        <v/>
      </c>
      <c r="B1845" s="320">
        <f>'ESCOLA SÃO CRISTÓVÃO'!D9</f>
        <v/>
      </c>
    </row>
    <row r="1846" ht="15" customHeight="1" s="163">
      <c r="A1846" s="319">
        <f>'ESCOLA SÃO CRISTÓVÃO'!I10</f>
        <v/>
      </c>
      <c r="B1846" s="320">
        <f>'ESCOLA SÃO CRISTÓVÃO'!D10</f>
        <v/>
      </c>
    </row>
    <row r="1847" ht="15" customHeight="1" s="163">
      <c r="A1847" s="319">
        <f>'ESCOLA SÃO CRISTÓVÃO'!I11</f>
        <v/>
      </c>
      <c r="B1847" s="320">
        <f>'ESCOLA SÃO CRISTÓVÃO'!D11</f>
        <v/>
      </c>
    </row>
    <row r="1848" ht="15" customHeight="1" s="163">
      <c r="A1848" s="319">
        <f>'ESCOLA SÃO CRISTÓVÃO'!I12</f>
        <v/>
      </c>
      <c r="B1848" s="320">
        <f>'ESCOLA SÃO CRISTÓVÃO'!D12</f>
        <v/>
      </c>
    </row>
    <row r="1849" ht="15" customHeight="1" s="163">
      <c r="A1849" s="319">
        <f>'ESCOLA SÃO CRISTÓVÃO'!I13</f>
        <v/>
      </c>
      <c r="B1849" s="320">
        <f>'ESCOLA SÃO CRISTÓVÃO'!D13</f>
        <v/>
      </c>
    </row>
    <row r="1850" ht="15" customHeight="1" s="163">
      <c r="A1850" s="319">
        <f>'ESCOLA SÃO CRISTÓVÃO'!I14</f>
        <v/>
      </c>
      <c r="B1850" s="320">
        <f>'ESCOLA SÃO CRISTÓVÃO'!D14</f>
        <v/>
      </c>
    </row>
    <row r="1851" ht="15" customHeight="1" s="163">
      <c r="A1851" s="319">
        <f>'ESCOLA SÃO CRISTÓVÃO'!I15</f>
        <v/>
      </c>
      <c r="B1851" s="320">
        <f>'ESCOLA SÃO CRISTÓVÃO'!D15</f>
        <v/>
      </c>
    </row>
    <row r="1852" ht="15" customHeight="1" s="163">
      <c r="A1852" s="319">
        <f>'ESCOLA SÃO CRISTÓVÃO'!I16</f>
        <v/>
      </c>
      <c r="B1852" s="320">
        <f>'ESCOLA SÃO CRISTÓVÃO'!D16</f>
        <v/>
      </c>
    </row>
    <row r="1853" ht="15" customHeight="1" s="163">
      <c r="A1853" s="319">
        <f>'ESCOLA SÃO CRISTÓVÃO'!I17</f>
        <v/>
      </c>
      <c r="B1853" s="320">
        <f>'ESCOLA SÃO CRISTÓVÃO'!D17</f>
        <v/>
      </c>
    </row>
    <row r="1854" ht="15" customHeight="1" s="163">
      <c r="A1854" s="319">
        <f>'ESCOLA SÃO CRISTÓVÃO'!I18</f>
        <v/>
      </c>
      <c r="B1854" s="320">
        <f>'ESCOLA SÃO CRISTÓVÃO'!D18</f>
        <v/>
      </c>
    </row>
    <row r="1855" ht="15" customHeight="1" s="163">
      <c r="A1855" s="319">
        <f>'ESCOLA SÃO CRISTÓVÃO'!I19</f>
        <v/>
      </c>
      <c r="B1855" s="320">
        <f>'ESCOLA SÃO CRISTÓVÃO'!D19</f>
        <v/>
      </c>
    </row>
    <row r="1856" ht="15" customHeight="1" s="163">
      <c r="A1856" s="319">
        <f>'ESCOLA SÃO CRISTÓVÃO'!I20</f>
        <v/>
      </c>
      <c r="B1856" s="320">
        <f>'ESCOLA SÃO CRISTÓVÃO'!D20</f>
        <v/>
      </c>
    </row>
    <row r="1857" ht="15" customHeight="1" s="163">
      <c r="A1857" s="319">
        <f>'ESCOLA SÃO CRISTÓVÃO'!I21</f>
        <v/>
      </c>
      <c r="B1857" s="320">
        <f>'ESCOLA SÃO CRISTÓVÃO'!D21</f>
        <v/>
      </c>
    </row>
    <row r="1858" ht="15" customHeight="1" s="163">
      <c r="A1858" s="319">
        <f>'ESCOLA SÃO CRISTÓVÃO'!I22</f>
        <v/>
      </c>
      <c r="B1858" s="320">
        <f>'ESCOLA SÃO CRISTÓVÃO'!D22</f>
        <v/>
      </c>
    </row>
    <row r="1859" ht="15" customHeight="1" s="163">
      <c r="A1859" s="319">
        <f>'ESCOLA SÃO CRISTÓVÃO'!I23</f>
        <v/>
      </c>
      <c r="B1859" s="320">
        <f>'ESCOLA SÃO CRISTÓVÃO'!D23</f>
        <v/>
      </c>
    </row>
    <row r="1860" ht="15" customHeight="1" s="163">
      <c r="A1860" s="319">
        <f>'ESCOLA SÃO CRISTÓVÃO'!I24</f>
        <v/>
      </c>
      <c r="B1860" s="320">
        <f>'ESCOLA SÃO CRISTÓVÃO'!D24</f>
        <v/>
      </c>
    </row>
    <row r="1861" ht="15" customHeight="1" s="163">
      <c r="A1861" s="319">
        <f>'ESCOLA SÃO CRISTÓVÃO'!I25</f>
        <v/>
      </c>
      <c r="B1861" s="320">
        <f>'ESCOLA SÃO CRISTÓVÃO'!D25</f>
        <v/>
      </c>
    </row>
    <row r="1862" ht="15" customHeight="1" s="163">
      <c r="A1862" s="319">
        <f>'ESCOLA SÃO CRISTÓVÃO'!I26</f>
        <v/>
      </c>
      <c r="B1862" s="320">
        <f>'ESCOLA SÃO CRISTÓVÃO'!D26</f>
        <v/>
      </c>
    </row>
    <row r="1863" ht="15" customHeight="1" s="163">
      <c r="A1863" s="319">
        <f>'ESCOLA SÃO CRISTÓVÃO'!I27</f>
        <v/>
      </c>
      <c r="B1863" s="320">
        <f>'ESCOLA SÃO CRISTÓVÃO'!D27</f>
        <v/>
      </c>
    </row>
    <row r="1864" ht="15" customHeight="1" s="163">
      <c r="A1864" s="319">
        <f>'ESCOLA PAROQUIAL SÃO FRANCISCO '!I9</f>
        <v/>
      </c>
      <c r="B1864" s="320">
        <f>'ESCOLA PAROQUIAL SÃO FRANCISCO '!D9</f>
        <v/>
      </c>
    </row>
    <row r="1865" ht="15" customHeight="1" s="163">
      <c r="A1865" s="319">
        <f>'ESCOLA PAROQUIAL SÃO FRANCISCO '!I10</f>
        <v/>
      </c>
      <c r="B1865" s="320">
        <f>'ESCOLA PAROQUIAL SÃO FRANCISCO '!D10</f>
        <v/>
      </c>
    </row>
    <row r="1866" ht="15" customHeight="1" s="163">
      <c r="A1866" s="319">
        <f>'ESCOLA PAROQUIAL SÃO FRANCISCO '!I11</f>
        <v/>
      </c>
      <c r="B1866" s="320">
        <f>'ESCOLA PAROQUIAL SÃO FRANCISCO '!D11</f>
        <v/>
      </c>
    </row>
    <row r="1867" ht="15" customHeight="1" s="163">
      <c r="A1867" s="319">
        <f>'ESCOLA PAROQUIAL SÃO FRANCISCO '!I12</f>
        <v/>
      </c>
      <c r="B1867" s="320">
        <f>'ESCOLA PAROQUIAL SÃO FRANCISCO '!D12</f>
        <v/>
      </c>
    </row>
    <row r="1868" ht="15" customHeight="1" s="163">
      <c r="A1868" s="319">
        <f>'ESCOLA PAROQUIAL SÃO FRANCISCO '!I13</f>
        <v/>
      </c>
      <c r="B1868" s="320">
        <f>'ESCOLA PAROQUIAL SÃO FRANCISCO '!D13</f>
        <v/>
      </c>
    </row>
    <row r="1869" ht="15" customHeight="1" s="163">
      <c r="A1869" s="319">
        <f>'ESCOLA PAROQUIAL SÃO FRANCISCO '!I14</f>
        <v/>
      </c>
      <c r="B1869" s="320">
        <f>'ESCOLA PAROQUIAL SÃO FRANCISCO '!D14</f>
        <v/>
      </c>
    </row>
    <row r="1870" ht="15" customHeight="1" s="163">
      <c r="A1870" s="319">
        <f>'ESCOLA PAROQUIAL SÃO FRANCISCO '!I15</f>
        <v/>
      </c>
      <c r="B1870" s="320">
        <f>'ESCOLA PAROQUIAL SÃO FRANCISCO '!D15</f>
        <v/>
      </c>
    </row>
    <row r="1871" ht="15" customHeight="1" s="163">
      <c r="A1871" s="319">
        <f>'ESCOLA PAROQUIAL SÃO FRANCISCO '!I16</f>
        <v/>
      </c>
      <c r="B1871" s="320">
        <f>'ESCOLA PAROQUIAL SÃO FRANCISCO '!D16</f>
        <v/>
      </c>
    </row>
    <row r="1872" ht="15" customHeight="1" s="163">
      <c r="A1872" s="319">
        <f>'ESCOLA PAROQUIAL SÃO FRANCISCO '!I17</f>
        <v/>
      </c>
      <c r="B1872" s="320">
        <f>'ESCOLA PAROQUIAL SÃO FRANCISCO '!D17</f>
        <v/>
      </c>
    </row>
    <row r="1873" ht="15" customHeight="1" s="163">
      <c r="A1873" s="319">
        <f>'ESCOLA PAROQUIAL SÃO FRANCISCO '!I18</f>
        <v/>
      </c>
      <c r="B1873" s="320">
        <f>'ESCOLA PAROQUIAL SÃO FRANCISCO '!D18</f>
        <v/>
      </c>
    </row>
    <row r="1874" ht="15" customHeight="1" s="163">
      <c r="A1874" s="319">
        <f>'ESCOLA PAROQUIAL SÃO FRANCISCO '!I19</f>
        <v/>
      </c>
      <c r="B1874" s="320">
        <f>'ESCOLA PAROQUIAL SÃO FRANCISCO '!D19</f>
        <v/>
      </c>
    </row>
    <row r="1875" ht="15" customHeight="1" s="163">
      <c r="A1875" s="319">
        <f>'ESCOLA PAROQUIAL SÃO FRANCISCO '!I20</f>
        <v/>
      </c>
      <c r="B1875" s="320">
        <f>'ESCOLA PAROQUIAL SÃO FRANCISCO '!D20</f>
        <v/>
      </c>
    </row>
    <row r="1876" ht="15" customHeight="1" s="163">
      <c r="A1876" s="319">
        <f>'ESCOLA PAROQUIAL SÃO FRANCISCO '!I21</f>
        <v/>
      </c>
      <c r="B1876" s="320">
        <f>'ESCOLA PAROQUIAL SÃO FRANCISCO '!D21</f>
        <v/>
      </c>
    </row>
    <row r="1877" ht="15" customHeight="1" s="163">
      <c r="A1877" s="319">
        <f>'ESCOLA PAROQUIAL SÃO FRANCISCO '!I22</f>
        <v/>
      </c>
      <c r="B1877" s="320">
        <f>'ESCOLA PAROQUIAL SÃO FRANCISCO '!D22</f>
        <v/>
      </c>
    </row>
    <row r="1878" ht="15" customHeight="1" s="163">
      <c r="A1878" s="319">
        <f>'ESCOLA PAROQUIAL SÃO FRANCISCO '!I23</f>
        <v/>
      </c>
      <c r="B1878" s="320">
        <f>'ESCOLA PAROQUIAL SÃO FRANCISCO '!D23</f>
        <v/>
      </c>
    </row>
    <row r="1879" ht="15" customHeight="1" s="163">
      <c r="A1879" s="319">
        <f>'ESCOLA PAROQUIAL SÃO FRANCISCO '!I24</f>
        <v/>
      </c>
      <c r="B1879" s="320">
        <f>'ESCOLA PAROQUIAL SÃO FRANCISCO '!D24</f>
        <v/>
      </c>
    </row>
    <row r="1880" ht="15" customHeight="1" s="163">
      <c r="A1880" s="319">
        <f>'ESCOLA PAROQUIAL SÃO FRANCISCO '!I25</f>
        <v/>
      </c>
      <c r="B1880" s="320">
        <f>'ESCOLA PAROQUIAL SÃO FRANCISCO '!D25</f>
        <v/>
      </c>
    </row>
    <row r="1881" ht="15" customHeight="1" s="163">
      <c r="A1881" s="319">
        <f>'ESCOLA PAROQUIAL SÃO FRANCISCO '!I26</f>
        <v/>
      </c>
      <c r="B1881" s="320">
        <f>'ESCOLA PAROQUIAL SÃO FRANCISCO '!D26</f>
        <v/>
      </c>
    </row>
    <row r="1882" ht="15" customHeight="1" s="163">
      <c r="A1882" s="319">
        <f>'ESCOLA PAROQUIAL SÃO FRANCISCO '!I27</f>
        <v/>
      </c>
      <c r="B1882" s="320">
        <f>'ESCOLA PAROQUIAL SÃO FRANCISCO '!D27</f>
        <v/>
      </c>
    </row>
    <row r="1883" ht="15" customHeight="1" s="163">
      <c r="A1883" s="319">
        <f>'ESCOLA SAO FRANCISCO DE ASSIS'!I9</f>
        <v/>
      </c>
      <c r="B1883" s="320">
        <f>'ESCOLA SAO FRANCISCO DE ASSIS'!D9</f>
        <v/>
      </c>
    </row>
    <row r="1884" ht="15" customHeight="1" s="163">
      <c r="A1884" s="319">
        <f>'ESCOLA SAO FRANCISCO DE ASSIS'!I10</f>
        <v/>
      </c>
      <c r="B1884" s="320">
        <f>'ESCOLA SAO FRANCISCO DE ASSIS'!D10</f>
        <v/>
      </c>
    </row>
    <row r="1885" ht="15" customHeight="1" s="163">
      <c r="A1885" s="319">
        <f>'ESCOLA SAO FRANCISCO DE ASSIS'!I11</f>
        <v/>
      </c>
      <c r="B1885" s="320">
        <f>'ESCOLA SAO FRANCISCO DE ASSIS'!D11</f>
        <v/>
      </c>
    </row>
    <row r="1886" ht="15" customHeight="1" s="163">
      <c r="A1886" s="319">
        <f>'ESCOLA SAO FRANCISCO DE ASSIS'!I12</f>
        <v/>
      </c>
      <c r="B1886" s="320">
        <f>'ESCOLA SAO FRANCISCO DE ASSIS'!D12</f>
        <v/>
      </c>
    </row>
    <row r="1887" ht="15" customHeight="1" s="163">
      <c r="A1887" s="319">
        <f>'ESCOLA SAO FRANCISCO DE ASSIS'!I13</f>
        <v/>
      </c>
      <c r="B1887" s="320">
        <f>'ESCOLA SAO FRANCISCO DE ASSIS'!D13</f>
        <v/>
      </c>
    </row>
    <row r="1888" ht="15" customHeight="1" s="163">
      <c r="A1888" s="319">
        <f>'ESCOLA SAO FRANCISCO DE ASSIS'!I14</f>
        <v/>
      </c>
      <c r="B1888" s="320">
        <f>'ESCOLA SAO FRANCISCO DE ASSIS'!D14</f>
        <v/>
      </c>
    </row>
    <row r="1889" ht="15" customHeight="1" s="163">
      <c r="A1889" s="319">
        <f>'ESCOLA SAO FRANCISCO DE ASSIS'!I15</f>
        <v/>
      </c>
      <c r="B1889" s="320">
        <f>'ESCOLA SAO FRANCISCO DE ASSIS'!D15</f>
        <v/>
      </c>
    </row>
    <row r="1890" ht="15" customHeight="1" s="163">
      <c r="A1890" s="319">
        <f>'ESCOLA SAO FRANCISCO DE ASSIS'!I16</f>
        <v/>
      </c>
      <c r="B1890" s="320">
        <f>'ESCOLA SAO FRANCISCO DE ASSIS'!D16</f>
        <v/>
      </c>
    </row>
    <row r="1891" ht="15" customHeight="1" s="163">
      <c r="A1891" s="319">
        <f>'ESCOLA SAO FRANCISCO DE ASSIS'!I17</f>
        <v/>
      </c>
      <c r="B1891" s="320">
        <f>'ESCOLA SAO FRANCISCO DE ASSIS'!D17</f>
        <v/>
      </c>
    </row>
    <row r="1892" ht="15" customHeight="1" s="163">
      <c r="A1892" s="319">
        <f>'ESCOLA SAO FRANCISCO DE ASSIS'!I18</f>
        <v/>
      </c>
      <c r="B1892" s="320">
        <f>'ESCOLA SAO FRANCISCO DE ASSIS'!D18</f>
        <v/>
      </c>
    </row>
    <row r="1893" ht="15" customHeight="1" s="163">
      <c r="A1893" s="319">
        <f>'ESCOLA SAO FRANCISCO DE ASSIS'!I19</f>
        <v/>
      </c>
      <c r="B1893" s="320">
        <f>'ESCOLA SAO FRANCISCO DE ASSIS'!D19</f>
        <v/>
      </c>
    </row>
    <row r="1894" ht="15" customHeight="1" s="163">
      <c r="A1894" s="319">
        <f>'ESCOLA SAO FRANCISCO DE ASSIS'!I20</f>
        <v/>
      </c>
      <c r="B1894" s="320">
        <f>'ESCOLA SAO FRANCISCO DE ASSIS'!D20</f>
        <v/>
      </c>
    </row>
    <row r="1895" ht="15" customHeight="1" s="163">
      <c r="A1895" s="319">
        <f>'ESCOLA SAO FRANCISCO DE ASSIS'!I21</f>
        <v/>
      </c>
      <c r="B1895" s="320">
        <f>'ESCOLA SAO FRANCISCO DE ASSIS'!D21</f>
        <v/>
      </c>
    </row>
    <row r="1896" ht="15" customHeight="1" s="163">
      <c r="A1896" s="319">
        <f>'ESCOLA SAO FRANCISCO DE ASSIS'!I22</f>
        <v/>
      </c>
      <c r="B1896" s="320">
        <f>'ESCOLA SAO FRANCISCO DE ASSIS'!D22</f>
        <v/>
      </c>
    </row>
    <row r="1897" ht="15" customHeight="1" s="163">
      <c r="A1897" s="319">
        <f>'ESCOLA SAO FRANCISCO DE ASSIS'!I23</f>
        <v/>
      </c>
      <c r="B1897" s="320">
        <f>'ESCOLA SAO FRANCISCO DE ASSIS'!D23</f>
        <v/>
      </c>
    </row>
    <row r="1898" ht="15" customHeight="1" s="163">
      <c r="A1898" s="319">
        <f>'ESCOLA SAO FRANCISCO DE ASSIS'!I24</f>
        <v/>
      </c>
      <c r="B1898" s="320">
        <f>'ESCOLA SAO FRANCISCO DE ASSIS'!D24</f>
        <v/>
      </c>
    </row>
    <row r="1899" ht="15" customHeight="1" s="163">
      <c r="A1899" s="319">
        <f>'ESCOLA SAO FRANCISCO DE ASSIS'!I25</f>
        <v/>
      </c>
      <c r="B1899" s="320">
        <f>'ESCOLA SAO FRANCISCO DE ASSIS'!D25</f>
        <v/>
      </c>
    </row>
    <row r="1900" ht="15" customHeight="1" s="163">
      <c r="A1900" s="319">
        <f>'ESCOLA SAO FRANCISCO DE ASSIS'!I26</f>
        <v/>
      </c>
      <c r="B1900" s="320">
        <f>'ESCOLA SAO FRANCISCO DE ASSIS'!D26</f>
        <v/>
      </c>
    </row>
    <row r="1901" ht="15" customHeight="1" s="163">
      <c r="A1901" s="319">
        <f>'ESCOLA SAO FRANCISCO DE ASSIS'!I27</f>
        <v/>
      </c>
      <c r="B1901" s="320">
        <f>'ESCOLA SAO FRANCISCO DE ASSIS'!D27</f>
        <v/>
      </c>
    </row>
    <row r="1902" ht="15" customHeight="1" s="163">
      <c r="A1902" s="319">
        <f>'ESCOLA SÃO JOÃO BATISTA'!I9</f>
        <v/>
      </c>
      <c r="B1902" s="320">
        <f>'ESCOLA SÃO JOÃO BATISTA'!D9</f>
        <v/>
      </c>
    </row>
    <row r="1903" ht="15" customHeight="1" s="163">
      <c r="A1903" s="319">
        <f>'ESCOLA SÃO JOÃO BATISTA'!I10</f>
        <v/>
      </c>
      <c r="B1903" s="320">
        <f>'ESCOLA SÃO JOÃO BATISTA'!D10</f>
        <v/>
      </c>
    </row>
    <row r="1904" ht="15" customHeight="1" s="163">
      <c r="A1904" s="319">
        <f>'ESCOLA SÃO JOÃO BATISTA'!I11</f>
        <v/>
      </c>
      <c r="B1904" s="320">
        <f>'ESCOLA SÃO JOÃO BATISTA'!D11</f>
        <v/>
      </c>
    </row>
    <row r="1905" ht="15" customHeight="1" s="163">
      <c r="A1905" s="319">
        <f>'ESCOLA SÃO JOÃO BATISTA'!I12</f>
        <v/>
      </c>
      <c r="B1905" s="320">
        <f>'ESCOLA SÃO JOÃO BATISTA'!D12</f>
        <v/>
      </c>
    </row>
    <row r="1906" ht="15" customHeight="1" s="163">
      <c r="A1906" s="319">
        <f>'ESCOLA SÃO JOÃO BATISTA'!I13</f>
        <v/>
      </c>
      <c r="B1906" s="320">
        <f>'ESCOLA SÃO JOÃO BATISTA'!D13</f>
        <v/>
      </c>
    </row>
    <row r="1907" ht="15" customHeight="1" s="163">
      <c r="A1907" s="319">
        <f>'ESCOLA SÃO JOÃO BATISTA'!I14</f>
        <v/>
      </c>
      <c r="B1907" s="320">
        <f>'ESCOLA SÃO JOÃO BATISTA'!D14</f>
        <v/>
      </c>
    </row>
    <row r="1908" ht="15" customHeight="1" s="163">
      <c r="A1908" s="319">
        <f>'ESCOLA SÃO JOÃO BATISTA'!I15</f>
        <v/>
      </c>
      <c r="B1908" s="320">
        <f>'ESCOLA SÃO JOÃO BATISTA'!D15</f>
        <v/>
      </c>
    </row>
    <row r="1909" ht="15" customHeight="1" s="163">
      <c r="A1909" s="319">
        <f>'ESCOLA SÃO JOÃO BATISTA'!I16</f>
        <v/>
      </c>
      <c r="B1909" s="320">
        <f>'ESCOLA SÃO JOÃO BATISTA'!D16</f>
        <v/>
      </c>
    </row>
    <row r="1910" ht="15" customHeight="1" s="163">
      <c r="A1910" s="319">
        <f>'ESCOLA SÃO JOÃO BATISTA'!I17</f>
        <v/>
      </c>
      <c r="B1910" s="320">
        <f>'ESCOLA SÃO JOÃO BATISTA'!D17</f>
        <v/>
      </c>
    </row>
    <row r="1911" ht="15" customHeight="1" s="163">
      <c r="A1911" s="319">
        <f>'ESCOLA SÃO JOÃO BATISTA'!I18</f>
        <v/>
      </c>
      <c r="B1911" s="320">
        <f>'ESCOLA SÃO JOÃO BATISTA'!D18</f>
        <v/>
      </c>
    </row>
    <row r="1912" ht="15" customHeight="1" s="163">
      <c r="A1912" s="319">
        <f>'ESCOLA SÃO JOÃO BATISTA'!I19</f>
        <v/>
      </c>
      <c r="B1912" s="320">
        <f>'ESCOLA SÃO JOÃO BATISTA'!D19</f>
        <v/>
      </c>
    </row>
    <row r="1913" ht="15" customHeight="1" s="163">
      <c r="A1913" s="319">
        <f>'ESCOLA SÃO JOÃO BATISTA'!I20</f>
        <v/>
      </c>
      <c r="B1913" s="320">
        <f>'ESCOLA SÃO JOÃO BATISTA'!D20</f>
        <v/>
      </c>
    </row>
    <row r="1914" ht="15" customHeight="1" s="163">
      <c r="A1914" s="319">
        <f>'ESCOLA SÃO JOÃO BATISTA'!I21</f>
        <v/>
      </c>
      <c r="B1914" s="320">
        <f>'ESCOLA SÃO JOÃO BATISTA'!D21</f>
        <v/>
      </c>
    </row>
    <row r="1915" ht="15" customHeight="1" s="163">
      <c r="A1915" s="319">
        <f>'ESCOLA SÃO JOÃO BATISTA'!I22</f>
        <v/>
      </c>
      <c r="B1915" s="320">
        <f>'ESCOLA SÃO JOÃO BATISTA'!D22</f>
        <v/>
      </c>
    </row>
    <row r="1916" ht="15" customHeight="1" s="163">
      <c r="A1916" s="319">
        <f>'ESCOLA SÃO JOÃO BATISTA'!I23</f>
        <v/>
      </c>
      <c r="B1916" s="320">
        <f>'ESCOLA SÃO JOÃO BATISTA'!D23</f>
        <v/>
      </c>
    </row>
    <row r="1917" ht="15" customHeight="1" s="163">
      <c r="A1917" s="319">
        <f>'ESCOLA SÃO JOÃO BATISTA'!I24</f>
        <v/>
      </c>
      <c r="B1917" s="320">
        <f>'ESCOLA SÃO JOÃO BATISTA'!D24</f>
        <v/>
      </c>
    </row>
    <row r="1918" ht="15" customHeight="1" s="163">
      <c r="A1918" s="319">
        <f>'ESCOLA SÃO JOÃO BATISTA'!I25</f>
        <v/>
      </c>
      <c r="B1918" s="320">
        <f>'ESCOLA SÃO JOÃO BATISTA'!D25</f>
        <v/>
      </c>
    </row>
    <row r="1919" ht="15" customHeight="1" s="163">
      <c r="A1919" s="319">
        <f>'ESCOLA SÃO JOÃO BATISTA'!I26</f>
        <v/>
      </c>
      <c r="B1919" s="320">
        <f>'ESCOLA SÃO JOÃO BATISTA'!D26</f>
        <v/>
      </c>
    </row>
    <row r="1920" ht="15" customHeight="1" s="163">
      <c r="A1920" s="319">
        <f>'ESCOLA SÃO JOÃO BATISTA'!I27</f>
        <v/>
      </c>
      <c r="B1920" s="320">
        <f>'ESCOLA SÃO JOÃO BATISTA'!D27</f>
        <v/>
      </c>
    </row>
    <row r="1921" ht="15" customHeight="1" s="163">
      <c r="A1921" s="319">
        <f>'ESCOLA SÃO JUDAS TADEU'!I9</f>
        <v/>
      </c>
      <c r="B1921" s="320">
        <f>'ESCOLA SÃO JUDAS TADEU'!D9</f>
        <v/>
      </c>
    </row>
    <row r="1922" ht="15" customHeight="1" s="163">
      <c r="A1922" s="319">
        <f>'ESCOLA SÃO JUDAS TADEU'!I10</f>
        <v/>
      </c>
      <c r="B1922" s="320">
        <f>'ESCOLA SÃO JUDAS TADEU'!D10</f>
        <v/>
      </c>
    </row>
    <row r="1923" ht="15" customHeight="1" s="163">
      <c r="A1923" s="319">
        <f>'ESCOLA SÃO JUDAS TADEU'!I11</f>
        <v/>
      </c>
      <c r="B1923" s="320">
        <f>'ESCOLA SÃO JUDAS TADEU'!D11</f>
        <v/>
      </c>
    </row>
    <row r="1924" ht="15" customHeight="1" s="163">
      <c r="A1924" s="319">
        <f>'ESCOLA SÃO JUDAS TADEU'!I12</f>
        <v/>
      </c>
      <c r="B1924" s="320">
        <f>'ESCOLA SÃO JUDAS TADEU'!D12</f>
        <v/>
      </c>
    </row>
    <row r="1925" ht="15" customHeight="1" s="163">
      <c r="A1925" s="319">
        <f>'ESCOLA SÃO JUDAS TADEU'!I13</f>
        <v/>
      </c>
      <c r="B1925" s="320">
        <f>'ESCOLA SÃO JUDAS TADEU'!D13</f>
        <v/>
      </c>
    </row>
    <row r="1926" ht="15" customHeight="1" s="163">
      <c r="A1926" s="319">
        <f>'ESCOLA SÃO JUDAS TADEU'!I14</f>
        <v/>
      </c>
      <c r="B1926" s="320">
        <f>'ESCOLA SÃO JUDAS TADEU'!D14</f>
        <v/>
      </c>
    </row>
    <row r="1927" ht="15" customHeight="1" s="163">
      <c r="A1927" s="319">
        <f>'ESCOLA SÃO JUDAS TADEU'!I15</f>
        <v/>
      </c>
      <c r="B1927" s="320">
        <f>'ESCOLA SÃO JUDAS TADEU'!D15</f>
        <v/>
      </c>
    </row>
    <row r="1928" ht="15" customHeight="1" s="163">
      <c r="A1928" s="319">
        <f>'ESCOLA SÃO JUDAS TADEU'!I16</f>
        <v/>
      </c>
      <c r="B1928" s="320">
        <f>'ESCOLA SÃO JUDAS TADEU'!D16</f>
        <v/>
      </c>
    </row>
    <row r="1929" ht="15" customHeight="1" s="163">
      <c r="A1929" s="319">
        <f>'ESCOLA SÃO JUDAS TADEU'!I17</f>
        <v/>
      </c>
      <c r="B1929" s="320">
        <f>'ESCOLA SÃO JUDAS TADEU'!D17</f>
        <v/>
      </c>
    </row>
    <row r="1930" ht="15" customHeight="1" s="163">
      <c r="A1930" s="319">
        <f>'ESCOLA SÃO JUDAS TADEU'!I18</f>
        <v/>
      </c>
      <c r="B1930" s="320">
        <f>'ESCOLA SÃO JUDAS TADEU'!D18</f>
        <v/>
      </c>
    </row>
    <row r="1931" ht="15" customHeight="1" s="163">
      <c r="A1931" s="319">
        <f>'ESCOLA SÃO JUDAS TADEU'!I19</f>
        <v/>
      </c>
      <c r="B1931" s="320">
        <f>'ESCOLA SÃO JUDAS TADEU'!D19</f>
        <v/>
      </c>
    </row>
    <row r="1932" ht="15" customHeight="1" s="163">
      <c r="A1932" s="319">
        <f>'ESCOLA SÃO JUDAS TADEU'!I20</f>
        <v/>
      </c>
      <c r="B1932" s="320">
        <f>'ESCOLA SÃO JUDAS TADEU'!D20</f>
        <v/>
      </c>
    </row>
    <row r="1933" ht="15" customHeight="1" s="163">
      <c r="A1933" s="319">
        <f>'ESCOLA SÃO JUDAS TADEU'!I21</f>
        <v/>
      </c>
      <c r="B1933" s="320">
        <f>'ESCOLA SÃO JUDAS TADEU'!D21</f>
        <v/>
      </c>
    </row>
    <row r="1934" ht="15" customHeight="1" s="163">
      <c r="A1934" s="319">
        <f>'ESCOLA SÃO JUDAS TADEU'!I22</f>
        <v/>
      </c>
      <c r="B1934" s="320">
        <f>'ESCOLA SÃO JUDAS TADEU'!D22</f>
        <v/>
      </c>
    </row>
    <row r="1935" ht="15" customHeight="1" s="163">
      <c r="A1935" s="319">
        <f>'ESCOLA SÃO JUDAS TADEU'!I23</f>
        <v/>
      </c>
      <c r="B1935" s="320">
        <f>'ESCOLA SÃO JUDAS TADEU'!D23</f>
        <v/>
      </c>
    </row>
    <row r="1936" ht="15" customHeight="1" s="163">
      <c r="A1936" s="319">
        <f>'ESCOLA SÃO JUDAS TADEU'!I24</f>
        <v/>
      </c>
      <c r="B1936" s="320">
        <f>'ESCOLA SÃO JUDAS TADEU'!D24</f>
        <v/>
      </c>
    </row>
    <row r="1937" ht="15" customHeight="1" s="163">
      <c r="A1937" s="319">
        <f>'ESCOLA SÃO JUDAS TADEU'!I25</f>
        <v/>
      </c>
      <c r="B1937" s="320">
        <f>'ESCOLA SÃO JUDAS TADEU'!D25</f>
        <v/>
      </c>
    </row>
    <row r="1938" ht="15" customHeight="1" s="163">
      <c r="A1938" s="319">
        <f>'ESCOLA SÃO JUDAS TADEU'!I26</f>
        <v/>
      </c>
      <c r="B1938" s="320">
        <f>'ESCOLA SÃO JUDAS TADEU'!D26</f>
        <v/>
      </c>
    </row>
    <row r="1939" ht="15" customHeight="1" s="163">
      <c r="A1939" s="319">
        <f>'ESCOLA SÃO JUDAS TADEU'!I27</f>
        <v/>
      </c>
      <c r="B1939" s="320">
        <f>'ESCOLA SÃO JUDAS TADEU'!D27</f>
        <v/>
      </c>
    </row>
    <row r="1940" ht="15" customHeight="1" s="163">
      <c r="A1940" s="319">
        <f>'ESCOLA PAROQUIAL SÃO PIO X'!I9</f>
        <v/>
      </c>
      <c r="B1940" s="320">
        <f>'ESCOLA PAROQUIAL SÃO PIO X'!D9</f>
        <v/>
      </c>
    </row>
    <row r="1941" ht="15" customHeight="1" s="163">
      <c r="A1941" s="319">
        <f>'ESCOLA PAROQUIAL SÃO PIO X'!I10</f>
        <v/>
      </c>
      <c r="B1941" s="320">
        <f>'ESCOLA PAROQUIAL SÃO PIO X'!D10</f>
        <v/>
      </c>
    </row>
    <row r="1942" ht="15" customHeight="1" s="163">
      <c r="A1942" s="319">
        <f>'ESCOLA PAROQUIAL SÃO PIO X'!I11</f>
        <v/>
      </c>
      <c r="B1942" s="320">
        <f>'ESCOLA PAROQUIAL SÃO PIO X'!D11</f>
        <v/>
      </c>
    </row>
    <row r="1943" ht="15" customHeight="1" s="163">
      <c r="A1943" s="319">
        <f>'ESCOLA PAROQUIAL SÃO PIO X'!I12</f>
        <v/>
      </c>
      <c r="B1943" s="320">
        <f>'ESCOLA PAROQUIAL SÃO PIO X'!D12</f>
        <v/>
      </c>
    </row>
    <row r="1944" ht="15" customHeight="1" s="163">
      <c r="A1944" s="319">
        <f>'ESCOLA PAROQUIAL SÃO PIO X'!I13</f>
        <v/>
      </c>
      <c r="B1944" s="320">
        <f>'ESCOLA PAROQUIAL SÃO PIO X'!D13</f>
        <v/>
      </c>
    </row>
    <row r="1945" ht="15" customHeight="1" s="163">
      <c r="A1945" s="319">
        <f>'ESCOLA PAROQUIAL SÃO PIO X'!I14</f>
        <v/>
      </c>
      <c r="B1945" s="320">
        <f>'ESCOLA PAROQUIAL SÃO PIO X'!D14</f>
        <v/>
      </c>
    </row>
    <row r="1946" ht="15" customHeight="1" s="163">
      <c r="A1946" s="319">
        <f>'ESCOLA PAROQUIAL SÃO PIO X'!I15</f>
        <v/>
      </c>
      <c r="B1946" s="320">
        <f>'ESCOLA PAROQUIAL SÃO PIO X'!D15</f>
        <v/>
      </c>
    </row>
    <row r="1947" ht="15" customHeight="1" s="163">
      <c r="A1947" s="319">
        <f>'ESCOLA PAROQUIAL SÃO PIO X'!I16</f>
        <v/>
      </c>
      <c r="B1947" s="320">
        <f>'ESCOLA PAROQUIAL SÃO PIO X'!D16</f>
        <v/>
      </c>
    </row>
    <row r="1948" ht="15" customHeight="1" s="163">
      <c r="A1948" s="319">
        <f>'ESCOLA PAROQUIAL SÃO PIO X'!I17</f>
        <v/>
      </c>
      <c r="B1948" s="320">
        <f>'ESCOLA PAROQUIAL SÃO PIO X'!D17</f>
        <v/>
      </c>
    </row>
    <row r="1949" ht="15" customHeight="1" s="163">
      <c r="A1949" s="319">
        <f>'ESCOLA PAROQUIAL SÃO PIO X'!I18</f>
        <v/>
      </c>
      <c r="B1949" s="320">
        <f>'ESCOLA PAROQUIAL SÃO PIO X'!D18</f>
        <v/>
      </c>
    </row>
    <row r="1950" ht="15" customHeight="1" s="163">
      <c r="A1950" s="319">
        <f>'ESCOLA PAROQUIAL SÃO PIO X'!I19</f>
        <v/>
      </c>
      <c r="B1950" s="320">
        <f>'ESCOLA PAROQUIAL SÃO PIO X'!D19</f>
        <v/>
      </c>
    </row>
    <row r="1951" ht="15" customHeight="1" s="163">
      <c r="A1951" s="319">
        <f>'ESCOLA PAROQUIAL SÃO PIO X'!I20</f>
        <v/>
      </c>
      <c r="B1951" s="320">
        <f>'ESCOLA PAROQUIAL SÃO PIO X'!D20</f>
        <v/>
      </c>
    </row>
    <row r="1952" ht="15" customHeight="1" s="163">
      <c r="A1952" s="319">
        <f>'ESCOLA PAROQUIAL SÃO PIO X'!I21</f>
        <v/>
      </c>
      <c r="B1952" s="320">
        <f>'ESCOLA PAROQUIAL SÃO PIO X'!D21</f>
        <v/>
      </c>
    </row>
    <row r="1953" ht="15" customHeight="1" s="163">
      <c r="A1953" s="319">
        <f>'ESCOLA PAROQUIAL SÃO PIO X'!I22</f>
        <v/>
      </c>
      <c r="B1953" s="320">
        <f>'ESCOLA PAROQUIAL SÃO PIO X'!D22</f>
        <v/>
      </c>
    </row>
    <row r="1954" ht="15" customHeight="1" s="163">
      <c r="A1954" s="319">
        <f>'ESCOLA PAROQUIAL SÃO PIO X'!I23</f>
        <v/>
      </c>
      <c r="B1954" s="320">
        <f>'ESCOLA PAROQUIAL SÃO PIO X'!D23</f>
        <v/>
      </c>
    </row>
    <row r="1955" ht="15" customHeight="1" s="163">
      <c r="A1955" s="319">
        <f>'ESCOLA PAROQUIAL SÃO PIO X'!I24</f>
        <v/>
      </c>
      <c r="B1955" s="320">
        <f>'ESCOLA PAROQUIAL SÃO PIO X'!D24</f>
        <v/>
      </c>
    </row>
    <row r="1956" ht="15" customHeight="1" s="163">
      <c r="A1956" s="319">
        <f>'ESCOLA PAROQUIAL SÃO PIO X'!I25</f>
        <v/>
      </c>
      <c r="B1956" s="320">
        <f>'ESCOLA PAROQUIAL SÃO PIO X'!D25</f>
        <v/>
      </c>
    </row>
    <row r="1957" ht="15" customHeight="1" s="163">
      <c r="A1957" s="319">
        <f>'ESCOLA PAROQUIAL SÃO PIO X'!I26</f>
        <v/>
      </c>
      <c r="B1957" s="320">
        <f>'ESCOLA PAROQUIAL SÃO PIO X'!D26</f>
        <v/>
      </c>
    </row>
    <row r="1958" ht="15" customHeight="1" s="163">
      <c r="A1958" s="319">
        <f>'ESCOLA PAROQUIAL SÃO PIO X'!I27</f>
        <v/>
      </c>
      <c r="B1958" s="320">
        <f>'ESCOLA PAROQUIAL SÃO PIO X'!D27</f>
        <v/>
      </c>
    </row>
    <row r="1959" ht="15" customHeight="1" s="163">
      <c r="A1959" s="319">
        <f>'COLÉGIO ANGLICANO DE ARARAS'!I9</f>
        <v/>
      </c>
      <c r="B1959" s="320">
        <f>'COLÉGIO ANGLICANO DE ARARAS'!D9</f>
        <v/>
      </c>
    </row>
    <row r="1960" ht="15" customHeight="1" s="163">
      <c r="A1960" s="319">
        <f>'COLÉGIO ANGLICANO DE ARARAS'!I10</f>
        <v/>
      </c>
      <c r="B1960" s="320">
        <f>'COLÉGIO ANGLICANO DE ARARAS'!D10</f>
        <v/>
      </c>
    </row>
    <row r="1961" ht="15" customHeight="1" s="163">
      <c r="A1961" s="319">
        <f>'COLÉGIO ANGLICANO DE ARARAS'!I11</f>
        <v/>
      </c>
      <c r="B1961" s="320">
        <f>'COLÉGIO ANGLICANO DE ARARAS'!D11</f>
        <v/>
      </c>
    </row>
    <row r="1962" ht="15" customHeight="1" s="163">
      <c r="A1962" s="319">
        <f>'COLÉGIO ANGLICANO DE ARARAS'!I12</f>
        <v/>
      </c>
      <c r="B1962" s="320">
        <f>'COLÉGIO ANGLICANO DE ARARAS'!D12</f>
        <v/>
      </c>
    </row>
    <row r="1963" ht="15" customHeight="1" s="163">
      <c r="A1963" s="319">
        <f>'COLÉGIO ANGLICANO DE ARARAS'!I13</f>
        <v/>
      </c>
      <c r="B1963" s="320">
        <f>'COLÉGIO ANGLICANO DE ARARAS'!D13</f>
        <v/>
      </c>
    </row>
    <row r="1964" ht="15" customHeight="1" s="163">
      <c r="A1964" s="319">
        <f>'COLÉGIO ANGLICANO DE ARARAS'!I14</f>
        <v/>
      </c>
      <c r="B1964" s="320">
        <f>'COLÉGIO ANGLICANO DE ARARAS'!D14</f>
        <v/>
      </c>
    </row>
    <row r="1965" ht="15" customHeight="1" s="163">
      <c r="A1965" s="319">
        <f>'COLÉGIO ANGLICANO DE ARARAS'!I15</f>
        <v/>
      </c>
      <c r="B1965" s="320">
        <f>'COLÉGIO ANGLICANO DE ARARAS'!D15</f>
        <v/>
      </c>
    </row>
    <row r="1966" ht="15" customHeight="1" s="163">
      <c r="A1966" s="319">
        <f>'COLÉGIO ANGLICANO DE ARARAS'!I16</f>
        <v/>
      </c>
      <c r="B1966" s="320">
        <f>'COLÉGIO ANGLICANO DE ARARAS'!D16</f>
        <v/>
      </c>
    </row>
    <row r="1967" ht="15" customHeight="1" s="163">
      <c r="A1967" s="319">
        <f>'COLÉGIO ANGLICANO DE ARARAS'!I17</f>
        <v/>
      </c>
      <c r="B1967" s="320">
        <f>'COLÉGIO ANGLICANO DE ARARAS'!D17</f>
        <v/>
      </c>
    </row>
    <row r="1968" ht="15" customHeight="1" s="163">
      <c r="A1968" s="319">
        <f>'COLÉGIO ANGLICANO DE ARARAS'!I18</f>
        <v/>
      </c>
      <c r="B1968" s="320">
        <f>'COLÉGIO ANGLICANO DE ARARAS'!D18</f>
        <v/>
      </c>
    </row>
    <row r="1969" ht="15" customHeight="1" s="163">
      <c r="A1969" s="319">
        <f>'COLÉGIO ANGLICANO DE ARARAS'!I19</f>
        <v/>
      </c>
      <c r="B1969" s="320">
        <f>'COLÉGIO ANGLICANO DE ARARAS'!D19</f>
        <v/>
      </c>
    </row>
    <row r="1970" ht="15" customHeight="1" s="163">
      <c r="A1970" s="319">
        <f>'COLÉGIO ANGLICANO DE ARARAS'!I20</f>
        <v/>
      </c>
      <c r="B1970" s="320">
        <f>'COLÉGIO ANGLICANO DE ARARAS'!D20</f>
        <v/>
      </c>
    </row>
    <row r="1971" ht="15" customHeight="1" s="163">
      <c r="A1971" s="319">
        <f>'COLÉGIO ANGLICANO DE ARARAS'!I21</f>
        <v/>
      </c>
      <c r="B1971" s="320">
        <f>'COLÉGIO ANGLICANO DE ARARAS'!D21</f>
        <v/>
      </c>
    </row>
    <row r="1972" ht="15" customHeight="1" s="163">
      <c r="A1972" s="319">
        <f>'COLÉGIO ANGLICANO DE ARARAS'!I22</f>
        <v/>
      </c>
      <c r="B1972" s="320">
        <f>'COLÉGIO ANGLICANO DE ARARAS'!D22</f>
        <v/>
      </c>
    </row>
    <row r="1973" ht="15" customHeight="1" s="163">
      <c r="A1973" s="319">
        <f>'COLÉGIO ANGLICANO DE ARARAS'!I23</f>
        <v/>
      </c>
      <c r="B1973" s="320">
        <f>'COLÉGIO ANGLICANO DE ARARAS'!D23</f>
        <v/>
      </c>
    </row>
    <row r="1974" ht="15" customHeight="1" s="163">
      <c r="A1974" s="319">
        <f>'COLÉGIO ANGLICANO DE ARARAS'!I24</f>
        <v/>
      </c>
      <c r="B1974" s="320">
        <f>'COLÉGIO ANGLICANO DE ARARAS'!D24</f>
        <v/>
      </c>
    </row>
    <row r="1975" ht="15" customHeight="1" s="163">
      <c r="A1975" s="319">
        <f>'COLÉGIO ANGLICANO DE ARARAS'!I25</f>
        <v/>
      </c>
      <c r="B1975" s="320">
        <f>'COLÉGIO ANGLICANO DE ARARAS'!D25</f>
        <v/>
      </c>
    </row>
    <row r="1976" ht="15" customHeight="1" s="163">
      <c r="A1976" s="319">
        <f>'COLÉGIO ANGLICANO DE ARARAS'!I26</f>
        <v/>
      </c>
      <c r="B1976" s="320">
        <f>'COLÉGIO ANGLICANO DE ARARAS'!D26</f>
        <v/>
      </c>
    </row>
    <row r="1977" ht="15" customHeight="1" s="163">
      <c r="A1977" s="319">
        <f>'COLÉGIO ANGLICANO DE ARARAS'!I27</f>
        <v/>
      </c>
      <c r="B1977" s="320">
        <f>'COLÉGIO ANGLICANO DE ARARAS'!D27</f>
        <v/>
      </c>
    </row>
    <row r="1978" ht="15" customHeight="1" s="163">
      <c r="A1978" s="319">
        <f>'COLEGIO VICENTINO PADRE CORRÊA'!I9</f>
        <v/>
      </c>
      <c r="B1978" s="320">
        <f>'COLEGIO VICENTINO PADRE CORRÊA'!D9</f>
        <v/>
      </c>
    </row>
    <row r="1979" ht="15" customHeight="1" s="163">
      <c r="A1979" s="319">
        <f>'COLEGIO VICENTINO PADRE CORRÊA'!I10</f>
        <v/>
      </c>
      <c r="B1979" s="320">
        <f>'COLEGIO VICENTINO PADRE CORRÊA'!D10</f>
        <v/>
      </c>
    </row>
    <row r="1980" ht="15" customHeight="1" s="163">
      <c r="A1980" s="319">
        <f>'COLEGIO VICENTINO PADRE CORRÊA'!I11</f>
        <v/>
      </c>
      <c r="B1980" s="320">
        <f>'COLEGIO VICENTINO PADRE CORRÊA'!D11</f>
        <v/>
      </c>
    </row>
    <row r="1981" ht="15" customHeight="1" s="163">
      <c r="A1981" s="319">
        <f>'COLEGIO VICENTINO PADRE CORRÊA'!I12</f>
        <v/>
      </c>
      <c r="B1981" s="320">
        <f>'COLEGIO VICENTINO PADRE CORRÊA'!D12</f>
        <v/>
      </c>
    </row>
    <row r="1982" ht="15" customHeight="1" s="163">
      <c r="A1982" s="319">
        <f>'COLEGIO VICENTINO PADRE CORRÊA'!I13</f>
        <v/>
      </c>
      <c r="B1982" s="320">
        <f>'COLEGIO VICENTINO PADRE CORRÊA'!D13</f>
        <v/>
      </c>
    </row>
    <row r="1983" ht="15" customHeight="1" s="163">
      <c r="A1983" s="319">
        <f>'COLEGIO VICENTINO PADRE CORRÊA'!I14</f>
        <v/>
      </c>
      <c r="B1983" s="320">
        <f>'COLEGIO VICENTINO PADRE CORRÊA'!D14</f>
        <v/>
      </c>
    </row>
    <row r="1984" ht="15" customHeight="1" s="163">
      <c r="A1984" s="319">
        <f>'COLEGIO VICENTINO PADRE CORRÊA'!I15</f>
        <v/>
      </c>
      <c r="B1984" s="320">
        <f>'COLEGIO VICENTINO PADRE CORRÊA'!D15</f>
        <v/>
      </c>
    </row>
    <row r="1985" ht="15" customHeight="1" s="163">
      <c r="A1985" s="319">
        <f>'COLEGIO VICENTINO PADRE CORRÊA'!I16</f>
        <v/>
      </c>
      <c r="B1985" s="320">
        <f>'COLEGIO VICENTINO PADRE CORRÊA'!D16</f>
        <v/>
      </c>
    </row>
    <row r="1986" ht="15" customHeight="1" s="163">
      <c r="A1986" s="319">
        <f>'COLEGIO VICENTINO PADRE CORRÊA'!I17</f>
        <v/>
      </c>
      <c r="B1986" s="320">
        <f>'COLEGIO VICENTINO PADRE CORRÊA'!D17</f>
        <v/>
      </c>
    </row>
    <row r="1987" ht="15" customHeight="1" s="163">
      <c r="A1987" s="319">
        <f>'COLEGIO VICENTINO PADRE CORRÊA'!I18</f>
        <v/>
      </c>
      <c r="B1987" s="320">
        <f>'COLEGIO VICENTINO PADRE CORRÊA'!D18</f>
        <v/>
      </c>
    </row>
    <row r="1988" ht="15" customHeight="1" s="163">
      <c r="A1988" s="319">
        <f>'COLEGIO VICENTINO PADRE CORRÊA'!I19</f>
        <v/>
      </c>
      <c r="B1988" s="320">
        <f>'COLEGIO VICENTINO PADRE CORRÊA'!D19</f>
        <v/>
      </c>
    </row>
    <row r="1989" ht="15" customHeight="1" s="163">
      <c r="A1989" s="319">
        <f>'COLEGIO VICENTINO PADRE CORRÊA'!I20</f>
        <v/>
      </c>
      <c r="B1989" s="320">
        <f>'COLEGIO VICENTINO PADRE CORRÊA'!D20</f>
        <v/>
      </c>
    </row>
    <row r="1990" ht="15" customHeight="1" s="163">
      <c r="A1990" s="319">
        <f>'COLEGIO VICENTINO PADRE CORRÊA'!I21</f>
        <v/>
      </c>
      <c r="B1990" s="320">
        <f>'COLEGIO VICENTINO PADRE CORRÊA'!D21</f>
        <v/>
      </c>
    </row>
    <row r="1991" ht="15" customHeight="1" s="163">
      <c r="A1991" s="319">
        <f>'COLEGIO VICENTINO PADRE CORRÊA'!I22</f>
        <v/>
      </c>
      <c r="B1991" s="320">
        <f>'COLEGIO VICENTINO PADRE CORRÊA'!D22</f>
        <v/>
      </c>
    </row>
    <row r="1992" ht="15" customHeight="1" s="163">
      <c r="A1992" s="319">
        <f>'COLEGIO VICENTINO PADRE CORRÊA'!I23</f>
        <v/>
      </c>
      <c r="B1992" s="320">
        <f>'COLEGIO VICENTINO PADRE CORRÊA'!D23</f>
        <v/>
      </c>
    </row>
    <row r="1993" ht="15" customHeight="1" s="163">
      <c r="A1993" s="319">
        <f>'COLEGIO VICENTINO PADRE CORRÊA'!I24</f>
        <v/>
      </c>
      <c r="B1993" s="320">
        <f>'COLEGIO VICENTINO PADRE CORRÊA'!D24</f>
        <v/>
      </c>
    </row>
    <row r="1994" ht="15" customHeight="1" s="163">
      <c r="A1994" s="319">
        <f>'COLEGIO VICENTINO PADRE CORRÊA'!I25</f>
        <v/>
      </c>
      <c r="B1994" s="320">
        <f>'COLEGIO VICENTINO PADRE CORRÊA'!D25</f>
        <v/>
      </c>
    </row>
    <row r="1995" ht="15" customHeight="1" s="163">
      <c r="A1995" s="319">
        <f>'COLEGIO VICENTINO PADRE CORRÊA'!I26</f>
        <v/>
      </c>
      <c r="B1995" s="320">
        <f>'COLEGIO VICENTINO PADRE CORRÊA'!D26</f>
        <v/>
      </c>
    </row>
    <row r="1996" ht="15" customHeight="1" s="163">
      <c r="A1996" s="319">
        <f>'COLEGIO VICENTINO PADRE CORRÊA'!I27</f>
        <v/>
      </c>
      <c r="B1996" s="320">
        <f>'COLEGIO VICENTINO PADRE CORRÊA'!D27</f>
        <v/>
      </c>
    </row>
    <row r="1997" ht="15" customHeight="1" s="163">
      <c r="A1997" s="319">
        <f>'ESCOLA NOSSA SENHORA DE FÁTIMA'!I9</f>
        <v/>
      </c>
      <c r="B1997" s="320">
        <f>'ESCOLA NOSSA SENHORA DE FÁTIMA'!D9</f>
        <v/>
      </c>
    </row>
    <row r="1998" ht="15" customHeight="1" s="163">
      <c r="A1998" s="319">
        <f>'ESCOLA NOSSA SENHORA DE FÁTIMA'!I10</f>
        <v/>
      </c>
      <c r="B1998" s="320">
        <f>'ESCOLA NOSSA SENHORA DE FÁTIMA'!D10</f>
        <v/>
      </c>
    </row>
    <row r="1999" ht="15" customHeight="1" s="163">
      <c r="A1999" s="319">
        <f>'ESCOLA NOSSA SENHORA DE FÁTIMA'!I11</f>
        <v/>
      </c>
      <c r="B1999" s="320">
        <f>'ESCOLA NOSSA SENHORA DE FÁTIMA'!D11</f>
        <v/>
      </c>
    </row>
    <row r="2000" ht="15" customHeight="1" s="163">
      <c r="A2000" s="319">
        <f>'ESCOLA NOSSA SENHORA DE FÁTIMA'!I12</f>
        <v/>
      </c>
      <c r="B2000" s="320">
        <f>'ESCOLA NOSSA SENHORA DE FÁTIMA'!D12</f>
        <v/>
      </c>
    </row>
    <row r="2001" ht="15" customHeight="1" s="163">
      <c r="A2001" s="319">
        <f>'ESCOLA NOSSA SENHORA DE FÁTIMA'!I13</f>
        <v/>
      </c>
      <c r="B2001" s="320">
        <f>'ESCOLA NOSSA SENHORA DE FÁTIMA'!D13</f>
        <v/>
      </c>
    </row>
    <row r="2002" ht="15" customHeight="1" s="163">
      <c r="A2002" s="319">
        <f>'ESCOLA NOSSA SENHORA DE FÁTIMA'!I14</f>
        <v/>
      </c>
      <c r="B2002" s="320">
        <f>'ESCOLA NOSSA SENHORA DE FÁTIMA'!D14</f>
        <v/>
      </c>
    </row>
    <row r="2003" ht="15" customHeight="1" s="163">
      <c r="A2003" s="319">
        <f>'ESCOLA NOSSA SENHORA DE FÁTIMA'!I15</f>
        <v/>
      </c>
      <c r="B2003" s="320">
        <f>'ESCOLA NOSSA SENHORA DE FÁTIMA'!D15</f>
        <v/>
      </c>
    </row>
    <row r="2004" ht="15" customHeight="1" s="163">
      <c r="A2004" s="319">
        <f>'ESCOLA NOSSA SENHORA DE FÁTIMA'!I16</f>
        <v/>
      </c>
      <c r="B2004" s="320">
        <f>'ESCOLA NOSSA SENHORA DE FÁTIMA'!D16</f>
        <v/>
      </c>
    </row>
    <row r="2005" ht="15" customHeight="1" s="163">
      <c r="A2005" s="319">
        <f>'ESCOLA NOSSA SENHORA DE FÁTIMA'!I17</f>
        <v/>
      </c>
      <c r="B2005" s="320">
        <f>'ESCOLA NOSSA SENHORA DE FÁTIMA'!D17</f>
        <v/>
      </c>
    </row>
    <row r="2006" ht="15" customHeight="1" s="163">
      <c r="A2006" s="319">
        <f>'ESCOLA NOSSA SENHORA DE FÁTIMA'!I18</f>
        <v/>
      </c>
      <c r="B2006" s="320">
        <f>'ESCOLA NOSSA SENHORA DE FÁTIMA'!D18</f>
        <v/>
      </c>
    </row>
    <row r="2007" ht="15" customHeight="1" s="163">
      <c r="A2007" s="319">
        <f>'ESCOLA NOSSA SENHORA DE FÁTIMA'!I19</f>
        <v/>
      </c>
      <c r="B2007" s="320">
        <f>'ESCOLA NOSSA SENHORA DE FÁTIMA'!D19</f>
        <v/>
      </c>
    </row>
    <row r="2008" ht="15" customHeight="1" s="163">
      <c r="A2008" s="319">
        <f>'ESCOLA NOSSA SENHORA DE FÁTIMA'!I20</f>
        <v/>
      </c>
      <c r="B2008" s="320">
        <f>'ESCOLA NOSSA SENHORA DE FÁTIMA'!D20</f>
        <v/>
      </c>
    </row>
    <row r="2009" ht="15" customHeight="1" s="163">
      <c r="A2009" s="319">
        <f>'ESCOLA NOSSA SENHORA DE FÁTIMA'!I21</f>
        <v/>
      </c>
      <c r="B2009" s="320">
        <f>'ESCOLA NOSSA SENHORA DE FÁTIMA'!D21</f>
        <v/>
      </c>
    </row>
    <row r="2010" ht="15" customHeight="1" s="163">
      <c r="A2010" s="319">
        <f>'ESCOLA NOSSA SENHORA DE FÁTIMA'!I22</f>
        <v/>
      </c>
      <c r="B2010" s="320">
        <f>'ESCOLA NOSSA SENHORA DE FÁTIMA'!D22</f>
        <v/>
      </c>
    </row>
    <row r="2011" ht="15" customHeight="1" s="163">
      <c r="A2011" s="319">
        <f>'ESCOLA NOSSA SENHORA DE FÁTIMA'!I23</f>
        <v/>
      </c>
      <c r="B2011" s="320">
        <f>'ESCOLA NOSSA SENHORA DE FÁTIMA'!D23</f>
        <v/>
      </c>
    </row>
    <row r="2012" ht="15" customHeight="1" s="163">
      <c r="A2012" s="319">
        <f>'ESCOLA NOSSA SENHORA DE FÁTIMA'!I24</f>
        <v/>
      </c>
      <c r="B2012" s="320">
        <f>'ESCOLA NOSSA SENHORA DE FÁTIMA'!D24</f>
        <v/>
      </c>
    </row>
    <row r="2013" ht="15" customHeight="1" s="163">
      <c r="A2013" s="319">
        <f>'ESCOLA NOSSA SENHORA DE FÁTIMA'!I25</f>
        <v/>
      </c>
      <c r="B2013" s="320">
        <f>'ESCOLA NOSSA SENHORA DE FÁTIMA'!D25</f>
        <v/>
      </c>
    </row>
    <row r="2014" ht="15" customHeight="1" s="163">
      <c r="A2014" s="319">
        <f>'ESCOLA NOSSA SENHORA DE FÁTIMA'!I26</f>
        <v/>
      </c>
      <c r="B2014" s="320">
        <f>'ESCOLA NOSSA SENHORA DE FÁTIMA'!D26</f>
        <v/>
      </c>
    </row>
    <row r="2015" ht="15" customHeight="1" s="163">
      <c r="A2015" s="319">
        <f>'ESCOLA NOSSA SENHORA DE FÁTIMA'!I27</f>
        <v/>
      </c>
      <c r="B2015" s="320">
        <f>'ESCOLA NOSSA SENHORA DE FÁTIMA'!D27</f>
        <v/>
      </c>
    </row>
    <row r="2016" ht="15" customHeight="1" s="163">
      <c r="A2016" s="319">
        <f>'ESCOLA PAROQUIAL DA ALCOBAÇA'!I9</f>
        <v/>
      </c>
      <c r="B2016" s="320">
        <f>'ESCOLA PAROQUIAL DA ALCOBAÇA'!D9</f>
        <v/>
      </c>
    </row>
    <row r="2017" ht="15" customHeight="1" s="163">
      <c r="A2017" s="319">
        <f>'ESCOLA PAROQUIAL DA ALCOBAÇA'!I10</f>
        <v/>
      </c>
      <c r="B2017" s="320">
        <f>'ESCOLA PAROQUIAL DA ALCOBAÇA'!D10</f>
        <v/>
      </c>
    </row>
    <row r="2018" ht="15" customHeight="1" s="163">
      <c r="A2018" s="319">
        <f>'ESCOLA PAROQUIAL DA ALCOBAÇA'!I11</f>
        <v/>
      </c>
      <c r="B2018" s="320">
        <f>'ESCOLA PAROQUIAL DA ALCOBAÇA'!D11</f>
        <v/>
      </c>
    </row>
    <row r="2019" ht="15" customHeight="1" s="163">
      <c r="A2019" s="319">
        <f>'ESCOLA PAROQUIAL DA ALCOBAÇA'!I12</f>
        <v/>
      </c>
      <c r="B2019" s="320">
        <f>'ESCOLA PAROQUIAL DA ALCOBAÇA'!D12</f>
        <v/>
      </c>
    </row>
    <row r="2020" ht="15" customHeight="1" s="163">
      <c r="A2020" s="319">
        <f>'ESCOLA PAROQUIAL DA ALCOBAÇA'!I13</f>
        <v/>
      </c>
      <c r="B2020" s="320">
        <f>'ESCOLA PAROQUIAL DA ALCOBAÇA'!D13</f>
        <v/>
      </c>
    </row>
    <row r="2021" ht="15" customHeight="1" s="163">
      <c r="A2021" s="319">
        <f>'ESCOLA PAROQUIAL DA ALCOBAÇA'!I14</f>
        <v/>
      </c>
      <c r="B2021" s="320">
        <f>'ESCOLA PAROQUIAL DA ALCOBAÇA'!D14</f>
        <v/>
      </c>
    </row>
    <row r="2022" ht="15" customHeight="1" s="163">
      <c r="A2022" s="319">
        <f>'ESCOLA PAROQUIAL DA ALCOBAÇA'!I15</f>
        <v/>
      </c>
      <c r="B2022" s="320">
        <f>'ESCOLA PAROQUIAL DA ALCOBAÇA'!D15</f>
        <v/>
      </c>
    </row>
    <row r="2023" ht="15" customHeight="1" s="163">
      <c r="A2023" s="319">
        <f>'ESCOLA PAROQUIAL DA ALCOBAÇA'!I16</f>
        <v/>
      </c>
      <c r="B2023" s="320">
        <f>'ESCOLA PAROQUIAL DA ALCOBAÇA'!D16</f>
        <v/>
      </c>
    </row>
    <row r="2024" ht="15" customHeight="1" s="163">
      <c r="A2024" s="319">
        <f>'ESCOLA PAROQUIAL DA ALCOBAÇA'!I17</f>
        <v/>
      </c>
      <c r="B2024" s="320">
        <f>'ESCOLA PAROQUIAL DA ALCOBAÇA'!D17</f>
        <v/>
      </c>
    </row>
    <row r="2025" ht="15" customHeight="1" s="163">
      <c r="A2025" s="319">
        <f>'ESCOLA PAROQUIAL DA ALCOBAÇA'!I18</f>
        <v/>
      </c>
      <c r="B2025" s="320">
        <f>'ESCOLA PAROQUIAL DA ALCOBAÇA'!D18</f>
        <v/>
      </c>
    </row>
    <row r="2026" ht="15" customHeight="1" s="163">
      <c r="A2026" s="319">
        <f>'ESCOLA PAROQUIAL DA ALCOBAÇA'!I19</f>
        <v/>
      </c>
      <c r="B2026" s="320">
        <f>'ESCOLA PAROQUIAL DA ALCOBAÇA'!D19</f>
        <v/>
      </c>
    </row>
    <row r="2027" ht="15" customHeight="1" s="163">
      <c r="A2027" s="319">
        <f>'ESCOLA PAROQUIAL DA ALCOBAÇA'!I20</f>
        <v/>
      </c>
      <c r="B2027" s="320">
        <f>'ESCOLA PAROQUIAL DA ALCOBAÇA'!D20</f>
        <v/>
      </c>
    </row>
    <row r="2028" ht="15" customHeight="1" s="163">
      <c r="A2028" s="319">
        <f>'ESCOLA PAROQUIAL DA ALCOBAÇA'!I21</f>
        <v/>
      </c>
      <c r="B2028" s="320">
        <f>'ESCOLA PAROQUIAL DA ALCOBAÇA'!D21</f>
        <v/>
      </c>
    </row>
    <row r="2029" ht="15" customHeight="1" s="163">
      <c r="A2029" s="319">
        <f>'ESCOLA PAROQUIAL DA ALCOBAÇA'!I22</f>
        <v/>
      </c>
      <c r="B2029" s="320">
        <f>'ESCOLA PAROQUIAL DA ALCOBAÇA'!D22</f>
        <v/>
      </c>
    </row>
    <row r="2030" ht="15" customHeight="1" s="163">
      <c r="A2030" s="319">
        <f>'ESCOLA PAROQUIAL DA ALCOBAÇA'!I23</f>
        <v/>
      </c>
      <c r="B2030" s="320">
        <f>'ESCOLA PAROQUIAL DA ALCOBAÇA'!D23</f>
        <v/>
      </c>
    </row>
    <row r="2031" ht="15" customHeight="1" s="163">
      <c r="A2031" s="319">
        <f>'ESCOLA PAROQUIAL DA ALCOBAÇA'!I24</f>
        <v/>
      </c>
      <c r="B2031" s="320">
        <f>'ESCOLA PAROQUIAL DA ALCOBAÇA'!D24</f>
        <v/>
      </c>
    </row>
    <row r="2032" ht="15" customHeight="1" s="163">
      <c r="A2032" s="319">
        <f>'ESCOLA PAROQUIAL DA ALCOBAÇA'!I25</f>
        <v/>
      </c>
      <c r="B2032" s="320">
        <f>'ESCOLA PAROQUIAL DA ALCOBAÇA'!D25</f>
        <v/>
      </c>
    </row>
    <row r="2033" ht="15" customHeight="1" s="163">
      <c r="A2033" s="319">
        <f>'ESCOLA PAROQUIAL DA ALCOBAÇA'!I26</f>
        <v/>
      </c>
      <c r="B2033" s="320">
        <f>'ESCOLA PAROQUIAL DA ALCOBAÇA'!D26</f>
        <v/>
      </c>
    </row>
    <row r="2034" ht="15" customHeight="1" s="163">
      <c r="A2034" s="319">
        <f>'ESCOLA PAROQUIAL DA ALCOBAÇA'!I27</f>
        <v/>
      </c>
      <c r="B2034" s="320">
        <f>'ESCOLA PAROQUIAL DA ALCOBAÇA'!D27</f>
        <v/>
      </c>
    </row>
    <row r="2035" ht="15" customHeight="1" s="163">
      <c r="A2035" s="319">
        <f>'ESCOLA PAROQUIAL DO LOTEAMENTO '!I9</f>
        <v/>
      </c>
      <c r="B2035" s="320">
        <f>'ESCOLA PAROQUIAL DO LOTEAMENTO '!D9</f>
        <v/>
      </c>
    </row>
    <row r="2036" ht="15" customHeight="1" s="163">
      <c r="A2036" s="319">
        <f>'ESCOLA PAROQUIAL DO LOTEAMENTO '!I10</f>
        <v/>
      </c>
      <c r="B2036" s="320">
        <f>'ESCOLA PAROQUIAL DO LOTEAMENTO '!D10</f>
        <v/>
      </c>
    </row>
    <row r="2037" ht="15" customHeight="1" s="163">
      <c r="A2037" s="319">
        <f>'ESCOLA PAROQUIAL DO LOTEAMENTO '!I11</f>
        <v/>
      </c>
      <c r="B2037" s="320">
        <f>'ESCOLA PAROQUIAL DO LOTEAMENTO '!D11</f>
        <v/>
      </c>
    </row>
    <row r="2038" ht="15" customHeight="1" s="163">
      <c r="A2038" s="319">
        <f>'ESCOLA PAROQUIAL DO LOTEAMENTO '!I12</f>
        <v/>
      </c>
      <c r="B2038" s="320">
        <f>'ESCOLA PAROQUIAL DO LOTEAMENTO '!D12</f>
        <v/>
      </c>
    </row>
    <row r="2039" ht="15" customHeight="1" s="163">
      <c r="A2039" s="319">
        <f>'ESCOLA PAROQUIAL DO LOTEAMENTO '!I13</f>
        <v/>
      </c>
      <c r="B2039" s="320">
        <f>'ESCOLA PAROQUIAL DO LOTEAMENTO '!D13</f>
        <v/>
      </c>
    </row>
    <row r="2040" ht="15" customHeight="1" s="163">
      <c r="A2040" s="319">
        <f>'ESCOLA PAROQUIAL DO LOTEAMENTO '!I14</f>
        <v/>
      </c>
      <c r="B2040" s="320">
        <f>'ESCOLA PAROQUIAL DO LOTEAMENTO '!D14</f>
        <v/>
      </c>
    </row>
    <row r="2041" ht="15" customHeight="1" s="163">
      <c r="A2041" s="319">
        <f>'ESCOLA PAROQUIAL DO LOTEAMENTO '!I15</f>
        <v/>
      </c>
      <c r="B2041" s="320">
        <f>'ESCOLA PAROQUIAL DO LOTEAMENTO '!D15</f>
        <v/>
      </c>
    </row>
    <row r="2042" ht="15" customHeight="1" s="163">
      <c r="A2042" s="319">
        <f>'ESCOLA PAROQUIAL DO LOTEAMENTO '!I16</f>
        <v/>
      </c>
      <c r="B2042" s="320">
        <f>'ESCOLA PAROQUIAL DO LOTEAMENTO '!D16</f>
        <v/>
      </c>
    </row>
    <row r="2043" ht="15" customHeight="1" s="163">
      <c r="A2043" s="319">
        <f>'ESCOLA PAROQUIAL DO LOTEAMENTO '!I17</f>
        <v/>
      </c>
      <c r="B2043" s="320">
        <f>'ESCOLA PAROQUIAL DO LOTEAMENTO '!D17</f>
        <v/>
      </c>
    </row>
    <row r="2044" ht="15" customHeight="1" s="163">
      <c r="A2044" s="319">
        <f>'ESCOLA PAROQUIAL DO LOTEAMENTO '!I18</f>
        <v/>
      </c>
      <c r="B2044" s="320">
        <f>'ESCOLA PAROQUIAL DO LOTEAMENTO '!D18</f>
        <v/>
      </c>
    </row>
    <row r="2045" ht="15" customHeight="1" s="163">
      <c r="A2045" s="319">
        <f>'ESCOLA PAROQUIAL DO LOTEAMENTO '!I19</f>
        <v/>
      </c>
      <c r="B2045" s="320">
        <f>'ESCOLA PAROQUIAL DO LOTEAMENTO '!D19</f>
        <v/>
      </c>
    </row>
    <row r="2046" ht="15" customHeight="1" s="163">
      <c r="A2046" s="319">
        <f>'ESCOLA PAROQUIAL DO LOTEAMENTO '!I20</f>
        <v/>
      </c>
      <c r="B2046" s="320">
        <f>'ESCOLA PAROQUIAL DO LOTEAMENTO '!D20</f>
        <v/>
      </c>
    </row>
    <row r="2047" ht="15" customHeight="1" s="163">
      <c r="A2047" s="319">
        <f>'ESCOLA PAROQUIAL DO LOTEAMENTO '!I21</f>
        <v/>
      </c>
      <c r="B2047" s="320">
        <f>'ESCOLA PAROQUIAL DO LOTEAMENTO '!D21</f>
        <v/>
      </c>
    </row>
    <row r="2048" ht="15" customHeight="1" s="163">
      <c r="A2048" s="319">
        <f>'ESCOLA PAROQUIAL DO LOTEAMENTO '!I22</f>
        <v/>
      </c>
      <c r="B2048" s="320">
        <f>'ESCOLA PAROQUIAL DO LOTEAMENTO '!D22</f>
        <v/>
      </c>
    </row>
    <row r="2049" ht="15" customHeight="1" s="163">
      <c r="A2049" s="319">
        <f>'ESCOLA PAROQUIAL DO LOTEAMENTO '!I23</f>
        <v/>
      </c>
      <c r="B2049" s="320">
        <f>'ESCOLA PAROQUIAL DO LOTEAMENTO '!D23</f>
        <v/>
      </c>
    </row>
    <row r="2050" ht="15" customHeight="1" s="163">
      <c r="A2050" s="319">
        <f>'ESCOLA PAROQUIAL DO LOTEAMENTO '!I24</f>
        <v/>
      </c>
      <c r="B2050" s="320">
        <f>'ESCOLA PAROQUIAL DO LOTEAMENTO '!D24</f>
        <v/>
      </c>
    </row>
    <row r="2051" ht="15" customHeight="1" s="163">
      <c r="A2051" s="319">
        <f>'ESCOLA PAROQUIAL DO LOTEAMENTO '!I25</f>
        <v/>
      </c>
      <c r="B2051" s="320">
        <f>'ESCOLA PAROQUIAL DO LOTEAMENTO '!D25</f>
        <v/>
      </c>
    </row>
    <row r="2052" ht="15" customHeight="1" s="163">
      <c r="A2052" s="319">
        <f>'ESCOLA PAROQUIAL DO LOTEAMENTO '!I26</f>
        <v/>
      </c>
      <c r="B2052" s="320">
        <f>'ESCOLA PAROQUIAL DO LOTEAMENTO '!D26</f>
        <v/>
      </c>
    </row>
    <row r="2053" ht="15" customHeight="1" s="163">
      <c r="A2053" s="319">
        <f>'ESCOLA PAROQUIAL DO LOTEAMENTO '!I27</f>
        <v/>
      </c>
      <c r="B2053" s="320">
        <f>'ESCOLA PAROQUIAL DO LOTEAMENTO '!D27</f>
        <v/>
      </c>
    </row>
    <row r="2054" ht="15" customHeight="1" s="163">
      <c r="A2054" s="319">
        <f>'ESCOLA PAROQUIAL SANTA BERNADET'!I9</f>
        <v/>
      </c>
      <c r="B2054" s="320">
        <f>'ESCOLA PAROQUIAL SANTA BERNADET'!D9</f>
        <v/>
      </c>
    </row>
    <row r="2055" ht="15" customHeight="1" s="163">
      <c r="A2055" s="319">
        <f>'ESCOLA PAROQUIAL SANTA BERNADET'!I10</f>
        <v/>
      </c>
      <c r="B2055" s="320">
        <f>'ESCOLA PAROQUIAL SANTA BERNADET'!D10</f>
        <v/>
      </c>
    </row>
    <row r="2056" ht="15" customHeight="1" s="163">
      <c r="A2056" s="319">
        <f>'ESCOLA PAROQUIAL SANTA BERNADET'!I11</f>
        <v/>
      </c>
      <c r="B2056" s="320">
        <f>'ESCOLA PAROQUIAL SANTA BERNADET'!D11</f>
        <v/>
      </c>
    </row>
    <row r="2057" ht="15" customHeight="1" s="163">
      <c r="A2057" s="319">
        <f>'ESCOLA PAROQUIAL SANTA BERNADET'!I12</f>
        <v/>
      </c>
      <c r="B2057" s="320">
        <f>'ESCOLA PAROQUIAL SANTA BERNADET'!D12</f>
        <v/>
      </c>
    </row>
    <row r="2058" ht="15" customHeight="1" s="163">
      <c r="A2058" s="319">
        <f>'ESCOLA PAROQUIAL SANTA BERNADET'!I13</f>
        <v/>
      </c>
      <c r="B2058" s="320">
        <f>'ESCOLA PAROQUIAL SANTA BERNADET'!D13</f>
        <v/>
      </c>
    </row>
    <row r="2059" ht="15" customHeight="1" s="163">
      <c r="A2059" s="319">
        <f>'ESCOLA PAROQUIAL SANTA BERNADET'!I14</f>
        <v/>
      </c>
      <c r="B2059" s="320">
        <f>'ESCOLA PAROQUIAL SANTA BERNADET'!D14</f>
        <v/>
      </c>
    </row>
    <row r="2060" ht="15" customHeight="1" s="163">
      <c r="A2060" s="319">
        <f>'ESCOLA PAROQUIAL SANTA BERNADET'!I15</f>
        <v/>
      </c>
      <c r="B2060" s="320">
        <f>'ESCOLA PAROQUIAL SANTA BERNADET'!D15</f>
        <v/>
      </c>
    </row>
    <row r="2061" ht="15" customHeight="1" s="163">
      <c r="A2061" s="319">
        <f>'ESCOLA PAROQUIAL SANTA BERNADET'!I16</f>
        <v/>
      </c>
      <c r="B2061" s="320">
        <f>'ESCOLA PAROQUIAL SANTA BERNADET'!D16</f>
        <v/>
      </c>
    </row>
    <row r="2062" ht="15" customHeight="1" s="163">
      <c r="A2062" s="319">
        <f>'ESCOLA PAROQUIAL SANTA BERNADET'!I17</f>
        <v/>
      </c>
      <c r="B2062" s="320">
        <f>'ESCOLA PAROQUIAL SANTA BERNADET'!D17</f>
        <v/>
      </c>
    </row>
    <row r="2063" ht="15" customHeight="1" s="163">
      <c r="A2063" s="319">
        <f>'ESCOLA PAROQUIAL SANTA BERNADET'!I18</f>
        <v/>
      </c>
      <c r="B2063" s="320">
        <f>'ESCOLA PAROQUIAL SANTA BERNADET'!D18</f>
        <v/>
      </c>
    </row>
    <row r="2064" ht="15" customHeight="1" s="163">
      <c r="A2064" s="319">
        <f>'ESCOLA PAROQUIAL SANTA BERNADET'!I19</f>
        <v/>
      </c>
      <c r="B2064" s="320">
        <f>'ESCOLA PAROQUIAL SANTA BERNADET'!D19</f>
        <v/>
      </c>
    </row>
    <row r="2065" ht="15" customHeight="1" s="163">
      <c r="A2065" s="319">
        <f>'ESCOLA PAROQUIAL SANTA BERNADET'!I20</f>
        <v/>
      </c>
      <c r="B2065" s="320">
        <f>'ESCOLA PAROQUIAL SANTA BERNADET'!D20</f>
        <v/>
      </c>
    </row>
    <row r="2066" ht="15" customHeight="1" s="163">
      <c r="A2066" s="319">
        <f>'ESCOLA PAROQUIAL SANTA BERNADET'!I21</f>
        <v/>
      </c>
      <c r="B2066" s="320">
        <f>'ESCOLA PAROQUIAL SANTA BERNADET'!D21</f>
        <v/>
      </c>
    </row>
    <row r="2067" ht="15" customHeight="1" s="163">
      <c r="A2067" s="319">
        <f>'ESCOLA PAROQUIAL SANTA BERNADET'!I22</f>
        <v/>
      </c>
      <c r="B2067" s="320">
        <f>'ESCOLA PAROQUIAL SANTA BERNADET'!D22</f>
        <v/>
      </c>
    </row>
    <row r="2068" ht="15" customHeight="1" s="163">
      <c r="A2068" s="319">
        <f>'ESCOLA PAROQUIAL SANTA BERNADET'!I23</f>
        <v/>
      </c>
      <c r="B2068" s="320">
        <f>'ESCOLA PAROQUIAL SANTA BERNADET'!D23</f>
        <v/>
      </c>
    </row>
    <row r="2069" ht="15" customHeight="1" s="163">
      <c r="A2069" s="319">
        <f>'ESCOLA PAROQUIAL SANTA BERNADET'!I24</f>
        <v/>
      </c>
      <c r="B2069" s="320">
        <f>'ESCOLA PAROQUIAL SANTA BERNADET'!D24</f>
        <v/>
      </c>
    </row>
    <row r="2070" ht="15" customHeight="1" s="163">
      <c r="A2070" s="319">
        <f>'ESCOLA PAROQUIAL SANTA BERNADET'!I25</f>
        <v/>
      </c>
      <c r="B2070" s="320">
        <f>'ESCOLA PAROQUIAL SANTA BERNADET'!D25</f>
        <v/>
      </c>
    </row>
    <row r="2071" ht="15" customHeight="1" s="163">
      <c r="A2071" s="319">
        <f>'ESCOLA PAROQUIAL SANTA BERNADET'!I26</f>
        <v/>
      </c>
      <c r="B2071" s="320">
        <f>'ESCOLA PAROQUIAL SANTA BERNADET'!D26</f>
        <v/>
      </c>
    </row>
    <row r="2072" ht="15" customHeight="1" s="163">
      <c r="A2072" s="319">
        <f>'ESCOLA PAROQUIAL SANTA BERNADET'!I27</f>
        <v/>
      </c>
      <c r="B2072" s="320">
        <f>'ESCOLA PAROQUIAL SANTA BERNADET'!D27</f>
        <v/>
      </c>
    </row>
    <row r="2073" ht="15" customHeight="1" s="163">
      <c r="A2073" s="319">
        <f>'ESCOLA SÃO GERALDO'!I9</f>
        <v/>
      </c>
      <c r="B2073" s="320">
        <f>'ESCOLA SÃO GERALDO'!D9</f>
        <v/>
      </c>
    </row>
    <row r="2074" ht="15" customHeight="1" s="163">
      <c r="A2074" s="319">
        <f>'ESCOLA SÃO GERALDO'!I10</f>
        <v/>
      </c>
      <c r="B2074" s="320">
        <f>'ESCOLA SÃO GERALDO'!D10</f>
        <v/>
      </c>
    </row>
    <row r="2075" ht="15" customHeight="1" s="163">
      <c r="A2075" s="319">
        <f>'ESCOLA SÃO GERALDO'!I11</f>
        <v/>
      </c>
      <c r="B2075" s="320">
        <f>'ESCOLA SÃO GERALDO'!D11</f>
        <v/>
      </c>
    </row>
    <row r="2076" ht="15" customHeight="1" s="163">
      <c r="A2076" s="319">
        <f>'ESCOLA SÃO GERALDO'!I12</f>
        <v/>
      </c>
      <c r="B2076" s="320">
        <f>'ESCOLA SÃO GERALDO'!D12</f>
        <v/>
      </c>
    </row>
    <row r="2077" ht="15" customHeight="1" s="163">
      <c r="A2077" s="319">
        <f>'ESCOLA SÃO GERALDO'!I13</f>
        <v/>
      </c>
      <c r="B2077" s="320">
        <f>'ESCOLA SÃO GERALDO'!D13</f>
        <v/>
      </c>
    </row>
    <row r="2078" ht="15" customHeight="1" s="163">
      <c r="A2078" s="319">
        <f>'ESCOLA SÃO GERALDO'!I14</f>
        <v/>
      </c>
      <c r="B2078" s="320">
        <f>'ESCOLA SÃO GERALDO'!D14</f>
        <v/>
      </c>
    </row>
    <row r="2079" ht="15" customHeight="1" s="163">
      <c r="A2079" s="319">
        <f>'ESCOLA SÃO GERALDO'!I15</f>
        <v/>
      </c>
      <c r="B2079" s="320">
        <f>'ESCOLA SÃO GERALDO'!D15</f>
        <v/>
      </c>
    </row>
    <row r="2080" ht="15" customHeight="1" s="163">
      <c r="A2080" s="319">
        <f>'ESCOLA SÃO GERALDO'!I16</f>
        <v/>
      </c>
      <c r="B2080" s="320">
        <f>'ESCOLA SÃO GERALDO'!D16</f>
        <v/>
      </c>
    </row>
    <row r="2081" ht="15" customHeight="1" s="163">
      <c r="A2081" s="319">
        <f>'ESCOLA SÃO GERALDO'!I17</f>
        <v/>
      </c>
      <c r="B2081" s="320">
        <f>'ESCOLA SÃO GERALDO'!D17</f>
        <v/>
      </c>
    </row>
    <row r="2082" ht="15" customHeight="1" s="163">
      <c r="A2082" s="319">
        <f>'ESCOLA SÃO GERALDO'!I18</f>
        <v/>
      </c>
      <c r="B2082" s="320">
        <f>'ESCOLA SÃO GERALDO'!D18</f>
        <v/>
      </c>
    </row>
    <row r="2083" ht="15" customHeight="1" s="163">
      <c r="A2083" s="319">
        <f>'ESCOLA SÃO GERALDO'!I19</f>
        <v/>
      </c>
      <c r="B2083" s="320">
        <f>'ESCOLA SÃO GERALDO'!D19</f>
        <v/>
      </c>
    </row>
    <row r="2084" ht="15" customHeight="1" s="163">
      <c r="A2084" s="319">
        <f>'ESCOLA SÃO GERALDO'!I20</f>
        <v/>
      </c>
      <c r="B2084" s="320">
        <f>'ESCOLA SÃO GERALDO'!D20</f>
        <v/>
      </c>
    </row>
    <row r="2085" ht="15" customHeight="1" s="163">
      <c r="A2085" s="319">
        <f>'ESCOLA SÃO GERALDO'!I21</f>
        <v/>
      </c>
      <c r="B2085" s="320">
        <f>'ESCOLA SÃO GERALDO'!D21</f>
        <v/>
      </c>
    </row>
    <row r="2086" ht="15" customHeight="1" s="163">
      <c r="A2086" s="319">
        <f>'ESCOLA SÃO GERALDO'!I22</f>
        <v/>
      </c>
      <c r="B2086" s="320">
        <f>'ESCOLA SÃO GERALDO'!D22</f>
        <v/>
      </c>
    </row>
    <row r="2087" ht="15" customHeight="1" s="163">
      <c r="A2087" s="319">
        <f>'ESCOLA SÃO GERALDO'!I23</f>
        <v/>
      </c>
      <c r="B2087" s="320">
        <f>'ESCOLA SÃO GERALDO'!D23</f>
        <v/>
      </c>
    </row>
    <row r="2088" ht="15" customHeight="1" s="163">
      <c r="A2088" s="319">
        <f>'ESCOLA SÃO GERALDO'!I24</f>
        <v/>
      </c>
      <c r="B2088" s="320">
        <f>'ESCOLA SÃO GERALDO'!D24</f>
        <v/>
      </c>
    </row>
    <row r="2089" ht="15" customHeight="1" s="163">
      <c r="A2089" s="319">
        <f>'ESCOLA SÃO GERALDO'!I25</f>
        <v/>
      </c>
      <c r="B2089" s="320">
        <f>'ESCOLA SÃO GERALDO'!D25</f>
        <v/>
      </c>
    </row>
    <row r="2090" ht="15" customHeight="1" s="163">
      <c r="A2090" s="319">
        <f>'ESCOLA SÃO GERALDO'!I26</f>
        <v/>
      </c>
      <c r="B2090" s="320">
        <f>'ESCOLA SÃO GERALDO'!D26</f>
        <v/>
      </c>
    </row>
    <row r="2091" ht="15" customHeight="1" s="163">
      <c r="A2091" s="319">
        <f>'ESCOLA SÃO GERALDO'!I27</f>
        <v/>
      </c>
      <c r="B2091" s="320">
        <f>'ESCOLA SÃO GERALDO'!D27</f>
        <v/>
      </c>
    </row>
    <row r="2092" ht="15" customHeight="1" s="163">
      <c r="A2092" s="319">
        <f>'ESCOLA SANTO ANTÔNIO'!I9</f>
        <v/>
      </c>
      <c r="B2092" s="320">
        <f>'ESCOLA SANTO ANTÔNIO'!D9</f>
        <v/>
      </c>
    </row>
    <row r="2093" ht="15" customHeight="1" s="163">
      <c r="A2093" s="319">
        <f>'ESCOLA SANTO ANTÔNIO'!I10</f>
        <v/>
      </c>
      <c r="B2093" s="320">
        <f>'ESCOLA SANTO ANTÔNIO'!D10</f>
        <v/>
      </c>
    </row>
    <row r="2094" ht="15" customHeight="1" s="163">
      <c r="A2094" s="319">
        <f>'ESCOLA SANTO ANTÔNIO'!I11</f>
        <v/>
      </c>
      <c r="B2094" s="320">
        <f>'ESCOLA SANTO ANTÔNIO'!D11</f>
        <v/>
      </c>
    </row>
    <row r="2095" ht="15" customHeight="1" s="163">
      <c r="A2095" s="319">
        <f>'ESCOLA SANTO ANTÔNIO'!I12</f>
        <v/>
      </c>
      <c r="B2095" s="320">
        <f>'ESCOLA SANTO ANTÔNIO'!D12</f>
        <v/>
      </c>
    </row>
    <row r="2096" ht="15" customHeight="1" s="163">
      <c r="A2096" s="319">
        <f>'ESCOLA SANTO ANTÔNIO'!I13</f>
        <v/>
      </c>
      <c r="B2096" s="320">
        <f>'ESCOLA SANTO ANTÔNIO'!D13</f>
        <v/>
      </c>
    </row>
    <row r="2097" ht="15" customHeight="1" s="163">
      <c r="A2097" s="319">
        <f>'ESCOLA SANTO ANTÔNIO'!I14</f>
        <v/>
      </c>
      <c r="B2097" s="320">
        <f>'ESCOLA SANTO ANTÔNIO'!D14</f>
        <v/>
      </c>
    </row>
    <row r="2098" ht="15" customHeight="1" s="163">
      <c r="A2098" s="319">
        <f>'ESCOLA SANTO ANTÔNIO'!I15</f>
        <v/>
      </c>
      <c r="B2098" s="320">
        <f>'ESCOLA SANTO ANTÔNIO'!D15</f>
        <v/>
      </c>
    </row>
    <row r="2099" ht="15" customHeight="1" s="163">
      <c r="A2099" s="319">
        <f>'ESCOLA SANTO ANTÔNIO'!I16</f>
        <v/>
      </c>
      <c r="B2099" s="320">
        <f>'ESCOLA SANTO ANTÔNIO'!D16</f>
        <v/>
      </c>
    </row>
    <row r="2100" ht="15" customHeight="1" s="163">
      <c r="A2100" s="319">
        <f>'ESCOLA SANTO ANTÔNIO'!I17</f>
        <v/>
      </c>
      <c r="B2100" s="320">
        <f>'ESCOLA SANTO ANTÔNIO'!D17</f>
        <v/>
      </c>
    </row>
    <row r="2101" ht="15" customHeight="1" s="163">
      <c r="A2101" s="319">
        <f>'ESCOLA SANTO ANTÔNIO'!I18</f>
        <v/>
      </c>
      <c r="B2101" s="320">
        <f>'ESCOLA SANTO ANTÔNIO'!D18</f>
        <v/>
      </c>
    </row>
    <row r="2102" ht="15" customHeight="1" s="163">
      <c r="A2102" s="319">
        <f>'ESCOLA SANTO ANTÔNIO'!I19</f>
        <v/>
      </c>
      <c r="B2102" s="320">
        <f>'ESCOLA SANTO ANTÔNIO'!D19</f>
        <v/>
      </c>
    </row>
    <row r="2103" ht="15" customHeight="1" s="163">
      <c r="A2103" s="319">
        <f>'ESCOLA SANTO ANTÔNIO'!I20</f>
        <v/>
      </c>
      <c r="B2103" s="320">
        <f>'ESCOLA SANTO ANTÔNIO'!D20</f>
        <v/>
      </c>
    </row>
    <row r="2104" ht="15" customHeight="1" s="163">
      <c r="A2104" s="319">
        <f>'ESCOLA SANTO ANTÔNIO'!I21</f>
        <v/>
      </c>
      <c r="B2104" s="320">
        <f>'ESCOLA SANTO ANTÔNIO'!D21</f>
        <v/>
      </c>
    </row>
    <row r="2105" ht="15" customHeight="1" s="163">
      <c r="A2105" s="319">
        <f>'ESCOLA SANTO ANTÔNIO'!I22</f>
        <v/>
      </c>
      <c r="B2105" s="320">
        <f>'ESCOLA SANTO ANTÔNIO'!D22</f>
        <v/>
      </c>
    </row>
    <row r="2106" ht="15" customHeight="1" s="163">
      <c r="A2106" s="319">
        <f>'ESCOLA SANTO ANTÔNIO'!I23</f>
        <v/>
      </c>
      <c r="B2106" s="320">
        <f>'ESCOLA SANTO ANTÔNIO'!D23</f>
        <v/>
      </c>
    </row>
    <row r="2107" ht="15" customHeight="1" s="163">
      <c r="A2107" s="319">
        <f>'ESCOLA SANTO ANTÔNIO'!I24</f>
        <v/>
      </c>
      <c r="B2107" s="320">
        <f>'ESCOLA SANTO ANTÔNIO'!D24</f>
        <v/>
      </c>
    </row>
    <row r="2108" ht="15" customHeight="1" s="163">
      <c r="A2108" s="319">
        <f>'ESCOLA SANTO ANTÔNIO'!I25</f>
        <v/>
      </c>
      <c r="B2108" s="320">
        <f>'ESCOLA SANTO ANTÔNIO'!D25</f>
        <v/>
      </c>
    </row>
    <row r="2109" ht="15" customHeight="1" s="163">
      <c r="A2109" s="319">
        <f>'ESCOLA SANTO ANTÔNIO'!I26</f>
        <v/>
      </c>
      <c r="B2109" s="320">
        <f>'ESCOLA SANTO ANTÔNIO'!D26</f>
        <v/>
      </c>
    </row>
    <row r="2110" ht="15" customHeight="1" s="163">
      <c r="A2110" s="319">
        <f>'ESCOLA SANTO ANTÔNIO'!I27</f>
        <v/>
      </c>
      <c r="B2110" s="320">
        <f>'ESCOLA SANTO ANTÔNIO'!D27</f>
        <v/>
      </c>
    </row>
    <row r="2111" ht="15" customHeight="1" s="163">
      <c r="A2111" s="319">
        <f>'LICEU SÃO JOSÉ DE ITAIPAVA'!I9</f>
        <v/>
      </c>
      <c r="B2111" s="320">
        <f>'LICEU SÃO JOSÉ DE ITAIPAVA'!D9</f>
        <v/>
      </c>
    </row>
    <row r="2112" ht="15" customHeight="1" s="163">
      <c r="A2112" s="319">
        <f>'LICEU SÃO JOSÉ DE ITAIPAVA'!I10</f>
        <v/>
      </c>
      <c r="B2112" s="320">
        <f>'LICEU SÃO JOSÉ DE ITAIPAVA'!D10</f>
        <v/>
      </c>
    </row>
    <row r="2113" ht="15" customHeight="1" s="163">
      <c r="A2113" s="319">
        <f>'LICEU SÃO JOSÉ DE ITAIPAVA'!I11</f>
        <v/>
      </c>
      <c r="B2113" s="320">
        <f>'LICEU SÃO JOSÉ DE ITAIPAVA'!D11</f>
        <v/>
      </c>
    </row>
    <row r="2114" ht="15" customHeight="1" s="163">
      <c r="A2114" s="319">
        <f>'LICEU SÃO JOSÉ DE ITAIPAVA'!I12</f>
        <v/>
      </c>
      <c r="B2114" s="320">
        <f>'LICEU SÃO JOSÉ DE ITAIPAVA'!D12</f>
        <v/>
      </c>
    </row>
    <row r="2115" ht="15" customHeight="1" s="163">
      <c r="A2115" s="319">
        <f>'LICEU SÃO JOSÉ DE ITAIPAVA'!I13</f>
        <v/>
      </c>
      <c r="B2115" s="320">
        <f>'LICEU SÃO JOSÉ DE ITAIPAVA'!D13</f>
        <v/>
      </c>
    </row>
    <row r="2116" ht="15" customHeight="1" s="163">
      <c r="A2116" s="319">
        <f>'LICEU SÃO JOSÉ DE ITAIPAVA'!I14</f>
        <v/>
      </c>
      <c r="B2116" s="320">
        <f>'LICEU SÃO JOSÉ DE ITAIPAVA'!D14</f>
        <v/>
      </c>
    </row>
    <row r="2117" ht="15" customHeight="1" s="163">
      <c r="A2117" s="319">
        <f>'LICEU SÃO JOSÉ DE ITAIPAVA'!I15</f>
        <v/>
      </c>
      <c r="B2117" s="320">
        <f>'LICEU SÃO JOSÉ DE ITAIPAVA'!D15</f>
        <v/>
      </c>
    </row>
    <row r="2118" ht="15" customHeight="1" s="163">
      <c r="A2118" s="319">
        <f>'LICEU SÃO JOSÉ DE ITAIPAVA'!I16</f>
        <v/>
      </c>
      <c r="B2118" s="320">
        <f>'LICEU SÃO JOSÉ DE ITAIPAVA'!D16</f>
        <v/>
      </c>
    </row>
    <row r="2119" ht="15" customHeight="1" s="163">
      <c r="A2119" s="319">
        <f>'LICEU SÃO JOSÉ DE ITAIPAVA'!I17</f>
        <v/>
      </c>
      <c r="B2119" s="320">
        <f>'LICEU SÃO JOSÉ DE ITAIPAVA'!D17</f>
        <v/>
      </c>
    </row>
    <row r="2120" ht="15" customHeight="1" s="163">
      <c r="A2120" s="319">
        <f>'LICEU SÃO JOSÉ DE ITAIPAVA'!I18</f>
        <v/>
      </c>
      <c r="B2120" s="320">
        <f>'LICEU SÃO JOSÉ DE ITAIPAVA'!D18</f>
        <v/>
      </c>
    </row>
    <row r="2121" ht="15" customHeight="1" s="163">
      <c r="A2121" s="319">
        <f>'LICEU SÃO JOSÉ DE ITAIPAVA'!I19</f>
        <v/>
      </c>
      <c r="B2121" s="320">
        <f>'LICEU SÃO JOSÉ DE ITAIPAVA'!D19</f>
        <v/>
      </c>
    </row>
    <row r="2122" ht="15" customHeight="1" s="163">
      <c r="A2122" s="319">
        <f>'LICEU SÃO JOSÉ DE ITAIPAVA'!I20</f>
        <v/>
      </c>
      <c r="B2122" s="320">
        <f>'LICEU SÃO JOSÉ DE ITAIPAVA'!D20</f>
        <v/>
      </c>
    </row>
    <row r="2123" ht="15" customHeight="1" s="163">
      <c r="A2123" s="319">
        <f>'LICEU SÃO JOSÉ DE ITAIPAVA'!I21</f>
        <v/>
      </c>
      <c r="B2123" s="320">
        <f>'LICEU SÃO JOSÉ DE ITAIPAVA'!D21</f>
        <v/>
      </c>
    </row>
    <row r="2124" ht="15" customHeight="1" s="163">
      <c r="A2124" s="319">
        <f>'LICEU SÃO JOSÉ DE ITAIPAVA'!I22</f>
        <v/>
      </c>
      <c r="B2124" s="320">
        <f>'LICEU SÃO JOSÉ DE ITAIPAVA'!D22</f>
        <v/>
      </c>
    </row>
    <row r="2125" ht="15" customHeight="1" s="163">
      <c r="A2125" s="319">
        <f>'LICEU SÃO JOSÉ DE ITAIPAVA'!I23</f>
        <v/>
      </c>
      <c r="B2125" s="320">
        <f>'LICEU SÃO JOSÉ DE ITAIPAVA'!D23</f>
        <v/>
      </c>
    </row>
    <row r="2126" ht="15" customHeight="1" s="163">
      <c r="A2126" s="319">
        <f>'LICEU SÃO JOSÉ DE ITAIPAVA'!I24</f>
        <v/>
      </c>
      <c r="B2126" s="320">
        <f>'LICEU SÃO JOSÉ DE ITAIPAVA'!D24</f>
        <v/>
      </c>
    </row>
    <row r="2127" ht="15" customHeight="1" s="163">
      <c r="A2127" s="319">
        <f>'LICEU SÃO JOSÉ DE ITAIPAVA'!I25</f>
        <v/>
      </c>
      <c r="B2127" s="320">
        <f>'LICEU SÃO JOSÉ DE ITAIPAVA'!D25</f>
        <v/>
      </c>
    </row>
    <row r="2128" ht="15" customHeight="1" s="163">
      <c r="A2128" s="319">
        <f>'LICEU SÃO JOSÉ DE ITAIPAVA'!I26</f>
        <v/>
      </c>
      <c r="B2128" s="320">
        <f>'LICEU SÃO JOSÉ DE ITAIPAVA'!D26</f>
        <v/>
      </c>
    </row>
    <row r="2129" ht="15" customHeight="1" s="163">
      <c r="A2129" s="319">
        <f>'LICEU SÃO JOSÉ DE ITAIPAVA'!I27</f>
        <v/>
      </c>
      <c r="B2129" s="320">
        <f>'LICEU SÃO JOSÉ DE ITAIPAVA'!D27</f>
        <v/>
      </c>
    </row>
    <row r="2130" ht="15" customHeight="1" s="163">
      <c r="A2130" s="319">
        <f>'ESCOLA SÃO JOSÉ DO CAETITU'!I9</f>
        <v/>
      </c>
      <c r="B2130" s="320">
        <f>'ESCOLA SÃO JOSÉ DO CAETITU'!D9</f>
        <v/>
      </c>
    </row>
    <row r="2131" ht="15" customHeight="1" s="163">
      <c r="A2131" s="319">
        <f>'ESCOLA SÃO JOSÉ DO CAETITU'!I10</f>
        <v/>
      </c>
      <c r="B2131" s="320">
        <f>'ESCOLA SÃO JOSÉ DO CAETITU'!D10</f>
        <v/>
      </c>
    </row>
    <row r="2132" ht="15" customHeight="1" s="163">
      <c r="A2132" s="319">
        <f>'ESCOLA SÃO JOSÉ DO CAETITU'!I11</f>
        <v/>
      </c>
      <c r="B2132" s="320">
        <f>'ESCOLA SÃO JOSÉ DO CAETITU'!D11</f>
        <v/>
      </c>
    </row>
    <row r="2133" ht="15" customHeight="1" s="163">
      <c r="A2133" s="319">
        <f>'ESCOLA SÃO JOSÉ DO CAETITU'!I12</f>
        <v/>
      </c>
      <c r="B2133" s="320">
        <f>'ESCOLA SÃO JOSÉ DO CAETITU'!D12</f>
        <v/>
      </c>
    </row>
    <row r="2134" ht="15" customHeight="1" s="163">
      <c r="A2134" s="319">
        <f>'ESCOLA SÃO JOSÉ DO CAETITU'!I13</f>
        <v/>
      </c>
      <c r="B2134" s="320">
        <f>'ESCOLA SÃO JOSÉ DO CAETITU'!D13</f>
        <v/>
      </c>
    </row>
    <row r="2135" ht="15" customHeight="1" s="163">
      <c r="A2135" s="319">
        <f>'ESCOLA SÃO JOSÉ DO CAETITU'!I14</f>
        <v/>
      </c>
      <c r="B2135" s="320">
        <f>'ESCOLA SÃO JOSÉ DO CAETITU'!D14</f>
        <v/>
      </c>
    </row>
    <row r="2136" ht="15" customHeight="1" s="163">
      <c r="A2136" s="319">
        <f>'ESCOLA SÃO JOSÉ DO CAETITU'!I15</f>
        <v/>
      </c>
      <c r="B2136" s="320">
        <f>'ESCOLA SÃO JOSÉ DO CAETITU'!D15</f>
        <v/>
      </c>
    </row>
    <row r="2137" ht="15" customHeight="1" s="163">
      <c r="A2137" s="319">
        <f>'ESCOLA SÃO JOSÉ DO CAETITU'!I16</f>
        <v/>
      </c>
      <c r="B2137" s="320">
        <f>'ESCOLA SÃO JOSÉ DO CAETITU'!D16</f>
        <v/>
      </c>
    </row>
    <row r="2138" ht="15" customHeight="1" s="163">
      <c r="A2138" s="319">
        <f>'ESCOLA SÃO JOSÉ DO CAETITU'!I17</f>
        <v/>
      </c>
      <c r="B2138" s="320">
        <f>'ESCOLA SÃO JOSÉ DO CAETITU'!D17</f>
        <v/>
      </c>
    </row>
    <row r="2139" ht="15" customHeight="1" s="163">
      <c r="A2139" s="319">
        <f>'ESCOLA SÃO JOSÉ DO CAETITU'!I18</f>
        <v/>
      </c>
      <c r="B2139" s="320">
        <f>'ESCOLA SÃO JOSÉ DO CAETITU'!D18</f>
        <v/>
      </c>
    </row>
    <row r="2140" ht="15" customHeight="1" s="163">
      <c r="A2140" s="319">
        <f>'ESCOLA SÃO JOSÉ DO CAETITU'!I19</f>
        <v/>
      </c>
      <c r="B2140" s="320">
        <f>'ESCOLA SÃO JOSÉ DO CAETITU'!D19</f>
        <v/>
      </c>
    </row>
    <row r="2141" ht="15" customHeight="1" s="163">
      <c r="A2141" s="319">
        <f>'ESCOLA SÃO JOSÉ DO CAETITU'!I20</f>
        <v/>
      </c>
      <c r="B2141" s="320">
        <f>'ESCOLA SÃO JOSÉ DO CAETITU'!D20</f>
        <v/>
      </c>
    </row>
    <row r="2142" ht="15" customHeight="1" s="163">
      <c r="A2142" s="319">
        <f>'ESCOLA SÃO JOSÉ DO CAETITU'!I21</f>
        <v/>
      </c>
      <c r="B2142" s="320">
        <f>'ESCOLA SÃO JOSÉ DO CAETITU'!D21</f>
        <v/>
      </c>
    </row>
    <row r="2143" ht="15" customHeight="1" s="163">
      <c r="A2143" s="319">
        <f>'ESCOLA SÃO JOSÉ DO CAETITU'!I22</f>
        <v/>
      </c>
      <c r="B2143" s="320">
        <f>'ESCOLA SÃO JOSÉ DO CAETITU'!D22</f>
        <v/>
      </c>
    </row>
    <row r="2144" ht="15" customHeight="1" s="163">
      <c r="A2144" s="319">
        <f>'ESCOLA SÃO JOSÉ DO CAETITU'!I23</f>
        <v/>
      </c>
      <c r="B2144" s="320">
        <f>'ESCOLA SÃO JOSÉ DO CAETITU'!D23</f>
        <v/>
      </c>
    </row>
    <row r="2145" ht="15" customHeight="1" s="163">
      <c r="A2145" s="319">
        <f>'ESCOLA SÃO JOSÉ DO CAETITU'!I24</f>
        <v/>
      </c>
      <c r="B2145" s="320">
        <f>'ESCOLA SÃO JOSÉ DO CAETITU'!D24</f>
        <v/>
      </c>
    </row>
    <row r="2146" ht="15" customHeight="1" s="163">
      <c r="A2146" s="319">
        <f>'ESCOLA SÃO JOSÉ DO CAETITU'!I25</f>
        <v/>
      </c>
      <c r="B2146" s="320">
        <f>'ESCOLA SÃO JOSÉ DO CAETITU'!D25</f>
        <v/>
      </c>
    </row>
    <row r="2147" ht="15" customHeight="1" s="163">
      <c r="A2147" s="319">
        <f>'ESCOLA SÃO JOSÉ DO CAETITU'!I26</f>
        <v/>
      </c>
      <c r="B2147" s="320">
        <f>'ESCOLA SÃO JOSÉ DO CAETITU'!D26</f>
        <v/>
      </c>
    </row>
    <row r="2148" ht="15" customHeight="1" s="163">
      <c r="A2148" s="319">
        <f>'ESCOLA SÃO JOSÉ DO CAETITU'!I27</f>
        <v/>
      </c>
      <c r="B2148" s="320">
        <f>'ESCOLA SÃO JOSÉ DO CAETITU'!D27</f>
        <v/>
      </c>
    </row>
    <row r="2149" ht="15" customHeight="1" s="163">
      <c r="A2149" s="319">
        <f>'CEI ASSOCIAÇÃO BENEFICENTE FAZE'!I9</f>
        <v/>
      </c>
      <c r="B2149" s="320">
        <f>'CEI ASSOCIAÇÃO BENEFICENTE FAZE'!D9</f>
        <v/>
      </c>
    </row>
    <row r="2150" ht="15" customHeight="1" s="163">
      <c r="A2150" s="319">
        <f>'CEI ASSOCIAÇÃO BENEFICENTE FAZE'!I10</f>
        <v/>
      </c>
      <c r="B2150" s="320">
        <f>'CEI ASSOCIAÇÃO BENEFICENTE FAZE'!D10</f>
        <v/>
      </c>
    </row>
    <row r="2151" ht="15" customHeight="1" s="163">
      <c r="A2151" s="319">
        <f>'CEI ASSOCIAÇÃO BENEFICENTE FAZE'!I11</f>
        <v/>
      </c>
      <c r="B2151" s="320">
        <f>'CEI ASSOCIAÇÃO BENEFICENTE FAZE'!D11</f>
        <v/>
      </c>
    </row>
    <row r="2152" ht="15" customHeight="1" s="163">
      <c r="A2152" s="319">
        <f>'CEI ASSOCIAÇÃO BENEFICENTE FAZE'!I12</f>
        <v/>
      </c>
      <c r="B2152" s="320">
        <f>'CEI ASSOCIAÇÃO BENEFICENTE FAZE'!D12</f>
        <v/>
      </c>
    </row>
    <row r="2153" ht="15" customHeight="1" s="163">
      <c r="A2153" s="319">
        <f>'CEI ASSOCIAÇÃO BENEFICENTE FAZE'!I13</f>
        <v/>
      </c>
      <c r="B2153" s="320">
        <f>'CEI ASSOCIAÇÃO BENEFICENTE FAZE'!D13</f>
        <v/>
      </c>
    </row>
    <row r="2154" ht="15" customHeight="1" s="163">
      <c r="A2154" s="319">
        <f>'CEI ASSOCIAÇÃO BENEFICENTE FAZE'!I14</f>
        <v/>
      </c>
      <c r="B2154" s="320">
        <f>'CEI ASSOCIAÇÃO BENEFICENTE FAZE'!D14</f>
        <v/>
      </c>
    </row>
    <row r="2155" ht="15" customHeight="1" s="163">
      <c r="A2155" s="319">
        <f>'CEI ASSOCIAÇÃO BENEFICENTE FAZE'!I15</f>
        <v/>
      </c>
      <c r="B2155" s="320">
        <f>'CEI ASSOCIAÇÃO BENEFICENTE FAZE'!D15</f>
        <v/>
      </c>
    </row>
    <row r="2156" ht="15" customHeight="1" s="163">
      <c r="A2156" s="319">
        <f>'CEI ASSOCIAÇÃO BENEFICENTE FAZE'!I16</f>
        <v/>
      </c>
      <c r="B2156" s="320">
        <f>'CEI ASSOCIAÇÃO BENEFICENTE FAZE'!D16</f>
        <v/>
      </c>
    </row>
    <row r="2157" ht="15" customHeight="1" s="163">
      <c r="A2157" s="319">
        <f>'CEI ASSOCIAÇÃO BENEFICENTE FAZE'!I17</f>
        <v/>
      </c>
      <c r="B2157" s="320">
        <f>'CEI ASSOCIAÇÃO BENEFICENTE FAZE'!D17</f>
        <v/>
      </c>
    </row>
    <row r="2158" ht="15" customHeight="1" s="163">
      <c r="A2158" s="319">
        <f>'CEI ASSOCIAÇÃO BENEFICENTE FAZE'!I18</f>
        <v/>
      </c>
      <c r="B2158" s="320">
        <f>'CEI ASSOCIAÇÃO BENEFICENTE FAZE'!D18</f>
        <v/>
      </c>
    </row>
    <row r="2159" ht="15" customHeight="1" s="163">
      <c r="A2159" s="319">
        <f>'CEI ASSOCIAÇÃO BENEFICENTE FAZE'!I19</f>
        <v/>
      </c>
      <c r="B2159" s="320">
        <f>'CEI ASSOCIAÇÃO BENEFICENTE FAZE'!D19</f>
        <v/>
      </c>
    </row>
    <row r="2160" ht="15" customHeight="1" s="163">
      <c r="A2160" s="319">
        <f>'CEI ASSOCIAÇÃO BENEFICENTE FAZE'!I20</f>
        <v/>
      </c>
      <c r="B2160" s="320">
        <f>'CEI ASSOCIAÇÃO BENEFICENTE FAZE'!D20</f>
        <v/>
      </c>
    </row>
    <row r="2161" ht="15" customHeight="1" s="163">
      <c r="A2161" s="319">
        <f>'CEI ASSOCIAÇÃO BENEFICENTE FAZE'!I21</f>
        <v/>
      </c>
      <c r="B2161" s="320">
        <f>'CEI ASSOCIAÇÃO BENEFICENTE FAZE'!D21</f>
        <v/>
      </c>
    </row>
    <row r="2162" ht="15" customHeight="1" s="163">
      <c r="A2162" s="319">
        <f>'CEI ASSOCIAÇÃO BENEFICENTE FAZE'!I22</f>
        <v/>
      </c>
      <c r="B2162" s="320">
        <f>'CEI ASSOCIAÇÃO BENEFICENTE FAZE'!D22</f>
        <v/>
      </c>
    </row>
    <row r="2163" ht="15" customHeight="1" s="163">
      <c r="A2163" s="319">
        <f>'CEI ASSOCIAÇÃO BENEFICENTE FAZE'!I23</f>
        <v/>
      </c>
      <c r="B2163" s="320">
        <f>'CEI ASSOCIAÇÃO BENEFICENTE FAZE'!D23</f>
        <v/>
      </c>
    </row>
    <row r="2164" ht="15" customHeight="1" s="163">
      <c r="A2164" s="319">
        <f>'CEI ASSOCIAÇÃO BENEFICENTE FAZE'!I24</f>
        <v/>
      </c>
      <c r="B2164" s="320">
        <f>'CEI ASSOCIAÇÃO BENEFICENTE FAZE'!D24</f>
        <v/>
      </c>
    </row>
    <row r="2165" ht="15" customHeight="1" s="163">
      <c r="A2165" s="319">
        <f>'CEI ASSOCIAÇÃO BENEFICENTE FAZE'!I25</f>
        <v/>
      </c>
      <c r="B2165" s="320">
        <f>'CEI ASSOCIAÇÃO BENEFICENTE FAZE'!D25</f>
        <v/>
      </c>
    </row>
    <row r="2166" ht="15" customHeight="1" s="163">
      <c r="A2166" s="319">
        <f>'CEI ASSOCIAÇÃO BENEFICENTE FAZE'!I26</f>
        <v/>
      </c>
      <c r="B2166" s="320">
        <f>'CEI ASSOCIAÇÃO BENEFICENTE FAZE'!D26</f>
        <v/>
      </c>
    </row>
    <row r="2167" ht="15" customHeight="1" s="163">
      <c r="A2167" s="319">
        <f>'CEI ASSOCIAÇÃO BENEFICENTE FAZE'!I27</f>
        <v/>
      </c>
      <c r="B2167" s="320">
        <f>'CEI ASSOCIAÇÃO BENEFICENTE FAZE'!D27</f>
        <v/>
      </c>
    </row>
    <row r="2168" ht="15" customHeight="1" s="163">
      <c r="A2168" s="319">
        <f>'CEI CASA DA SOLIDARIEDADE DE NO'!I9</f>
        <v/>
      </c>
      <c r="B2168" s="320">
        <f>'CEI CASA DA SOLIDARIEDADE DE NO'!D9</f>
        <v/>
      </c>
    </row>
    <row r="2169" ht="15" customHeight="1" s="163">
      <c r="A2169" s="319">
        <f>'CEI CASA DA SOLIDARIEDADE DE NO'!I10</f>
        <v/>
      </c>
      <c r="B2169" s="320">
        <f>'CEI CASA DA SOLIDARIEDADE DE NO'!D10</f>
        <v/>
      </c>
    </row>
    <row r="2170" ht="15" customHeight="1" s="163">
      <c r="A2170" s="319">
        <f>'CEI CASA DA SOLIDARIEDADE DE NO'!I11</f>
        <v/>
      </c>
      <c r="B2170" s="320">
        <f>'CEI CASA DA SOLIDARIEDADE DE NO'!D11</f>
        <v/>
      </c>
    </row>
    <row r="2171" ht="15" customHeight="1" s="163">
      <c r="A2171" s="319">
        <f>'CEI CASA DA SOLIDARIEDADE DE NO'!I12</f>
        <v/>
      </c>
      <c r="B2171" s="320">
        <f>'CEI CASA DA SOLIDARIEDADE DE NO'!D12</f>
        <v/>
      </c>
    </row>
    <row r="2172" ht="15" customHeight="1" s="163">
      <c r="A2172" s="319">
        <f>'CEI CASA DA SOLIDARIEDADE DE NO'!I13</f>
        <v/>
      </c>
      <c r="B2172" s="320">
        <f>'CEI CASA DA SOLIDARIEDADE DE NO'!D13</f>
        <v/>
      </c>
    </row>
    <row r="2173" ht="15" customHeight="1" s="163">
      <c r="A2173" s="319">
        <f>'CEI CASA DA SOLIDARIEDADE DE NO'!I14</f>
        <v/>
      </c>
      <c r="B2173" s="320">
        <f>'CEI CASA DA SOLIDARIEDADE DE NO'!D14</f>
        <v/>
      </c>
    </row>
    <row r="2174" ht="15" customHeight="1" s="163">
      <c r="A2174" s="319">
        <f>'CEI CASA DA SOLIDARIEDADE DE NO'!I15</f>
        <v/>
      </c>
      <c r="B2174" s="320">
        <f>'CEI CASA DA SOLIDARIEDADE DE NO'!D15</f>
        <v/>
      </c>
    </row>
    <row r="2175" ht="15" customHeight="1" s="163">
      <c r="A2175" s="319">
        <f>'CEI CASA DA SOLIDARIEDADE DE NO'!I16</f>
        <v/>
      </c>
      <c r="B2175" s="320">
        <f>'CEI CASA DA SOLIDARIEDADE DE NO'!D16</f>
        <v/>
      </c>
    </row>
    <row r="2176" ht="15" customHeight="1" s="163">
      <c r="A2176" s="319">
        <f>'CEI CASA DA SOLIDARIEDADE DE NO'!I17</f>
        <v/>
      </c>
      <c r="B2176" s="320">
        <f>'CEI CASA DA SOLIDARIEDADE DE NO'!D17</f>
        <v/>
      </c>
    </row>
    <row r="2177" ht="15" customHeight="1" s="163">
      <c r="A2177" s="319">
        <f>'CEI CASA DA SOLIDARIEDADE DE NO'!I18</f>
        <v/>
      </c>
      <c r="B2177" s="320">
        <f>'CEI CASA DA SOLIDARIEDADE DE NO'!D18</f>
        <v/>
      </c>
    </row>
    <row r="2178" ht="15" customHeight="1" s="163">
      <c r="A2178" s="319">
        <f>'CEI CASA DA SOLIDARIEDADE DE NO'!I19</f>
        <v/>
      </c>
      <c r="B2178" s="320">
        <f>'CEI CASA DA SOLIDARIEDADE DE NO'!D19</f>
        <v/>
      </c>
    </row>
    <row r="2179" ht="15" customHeight="1" s="163">
      <c r="A2179" s="319">
        <f>'CEI CASA DA SOLIDARIEDADE DE NO'!I20</f>
        <v/>
      </c>
      <c r="B2179" s="320">
        <f>'CEI CASA DA SOLIDARIEDADE DE NO'!D20</f>
        <v/>
      </c>
    </row>
    <row r="2180" ht="15" customHeight="1" s="163">
      <c r="A2180" s="319">
        <f>'CEI CASA DA SOLIDARIEDADE DE NO'!I21</f>
        <v/>
      </c>
      <c r="B2180" s="320">
        <f>'CEI CASA DA SOLIDARIEDADE DE NO'!D21</f>
        <v/>
      </c>
    </row>
    <row r="2181" ht="15" customHeight="1" s="163">
      <c r="A2181" s="319">
        <f>'CEI CASA DA SOLIDARIEDADE DE NO'!I22</f>
        <v/>
      </c>
      <c r="B2181" s="320">
        <f>'CEI CASA DA SOLIDARIEDADE DE NO'!D22</f>
        <v/>
      </c>
    </row>
    <row r="2182" ht="15" customHeight="1" s="163">
      <c r="A2182" s="319">
        <f>'CEI CASA DA SOLIDARIEDADE DE NO'!I23</f>
        <v/>
      </c>
      <c r="B2182" s="320">
        <f>'CEI CASA DA SOLIDARIEDADE DE NO'!D23</f>
        <v/>
      </c>
    </row>
    <row r="2183" ht="15" customHeight="1" s="163">
      <c r="A2183" s="319">
        <f>'CEI CASA DA SOLIDARIEDADE DE NO'!I24</f>
        <v/>
      </c>
      <c r="B2183" s="320">
        <f>'CEI CASA DA SOLIDARIEDADE DE NO'!D24</f>
        <v/>
      </c>
    </row>
    <row r="2184" ht="15" customHeight="1" s="163">
      <c r="A2184" s="319">
        <f>'CEI CASA DA SOLIDARIEDADE DE NO'!I25</f>
        <v/>
      </c>
      <c r="B2184" s="320">
        <f>'CEI CASA DA SOLIDARIEDADE DE NO'!D25</f>
        <v/>
      </c>
    </row>
    <row r="2185" ht="15" customHeight="1" s="163">
      <c r="A2185" s="319">
        <f>'CEI CASA DA SOLIDARIEDADE DE NO'!I26</f>
        <v/>
      </c>
      <c r="B2185" s="320">
        <f>'CEI CASA DA SOLIDARIEDADE DE NO'!D26</f>
        <v/>
      </c>
    </row>
    <row r="2186" ht="15" customHeight="1" s="163">
      <c r="A2186" s="319">
        <f>'CEI CASA DA SOLIDARIEDADE DE NO'!I27</f>
        <v/>
      </c>
      <c r="B2186" s="320">
        <f>'CEI CASA DA SOLIDARIEDADE DE NO'!D27</f>
        <v/>
      </c>
    </row>
    <row r="2187" ht="15" customHeight="1" s="163">
      <c r="A2187" s="319">
        <f>'CEI LULU MONTEIRO DE CASTRO'!I9</f>
        <v/>
      </c>
      <c r="B2187" s="320">
        <f>'CEI LULU MONTEIRO DE CASTRO'!D9</f>
        <v/>
      </c>
    </row>
    <row r="2188" ht="15" customHeight="1" s="163">
      <c r="A2188" s="319">
        <f>'CEI LULU MONTEIRO DE CASTRO'!I10</f>
        <v/>
      </c>
      <c r="B2188" s="320">
        <f>'CEI LULU MONTEIRO DE CASTRO'!D10</f>
        <v/>
      </c>
    </row>
    <row r="2189" ht="15" customHeight="1" s="163">
      <c r="A2189" s="319">
        <f>'CEI LULU MONTEIRO DE CASTRO'!I11</f>
        <v/>
      </c>
      <c r="B2189" s="320">
        <f>'CEI LULU MONTEIRO DE CASTRO'!D11</f>
        <v/>
      </c>
    </row>
    <row r="2190" ht="15" customHeight="1" s="163">
      <c r="A2190" s="319">
        <f>'CEI LULU MONTEIRO DE CASTRO'!I12</f>
        <v/>
      </c>
      <c r="B2190" s="320">
        <f>'CEI LULU MONTEIRO DE CASTRO'!D12</f>
        <v/>
      </c>
    </row>
    <row r="2191" ht="15" customHeight="1" s="163">
      <c r="A2191" s="319">
        <f>'CEI LULU MONTEIRO DE CASTRO'!I13</f>
        <v/>
      </c>
      <c r="B2191" s="320">
        <f>'CEI LULU MONTEIRO DE CASTRO'!D13</f>
        <v/>
      </c>
    </row>
    <row r="2192" ht="15" customHeight="1" s="163">
      <c r="A2192" s="319">
        <f>'CEI LULU MONTEIRO DE CASTRO'!I14</f>
        <v/>
      </c>
      <c r="B2192" s="320">
        <f>'CEI LULU MONTEIRO DE CASTRO'!D14</f>
        <v/>
      </c>
    </row>
    <row r="2193" ht="15" customHeight="1" s="163">
      <c r="A2193" s="319">
        <f>'CEI LULU MONTEIRO DE CASTRO'!I15</f>
        <v/>
      </c>
      <c r="B2193" s="320">
        <f>'CEI LULU MONTEIRO DE CASTRO'!D15</f>
        <v/>
      </c>
    </row>
    <row r="2194" ht="15" customHeight="1" s="163">
      <c r="A2194" s="319">
        <f>'CEI LULU MONTEIRO DE CASTRO'!I16</f>
        <v/>
      </c>
      <c r="B2194" s="320">
        <f>'CEI LULU MONTEIRO DE CASTRO'!D16</f>
        <v/>
      </c>
    </row>
    <row r="2195" ht="15" customHeight="1" s="163">
      <c r="A2195" s="319">
        <f>'CEI LULU MONTEIRO DE CASTRO'!I17</f>
        <v/>
      </c>
      <c r="B2195" s="320">
        <f>'CEI LULU MONTEIRO DE CASTRO'!D17</f>
        <v/>
      </c>
    </row>
    <row r="2196" ht="15" customHeight="1" s="163">
      <c r="A2196" s="319">
        <f>'CEI LULU MONTEIRO DE CASTRO'!I18</f>
        <v/>
      </c>
      <c r="B2196" s="320">
        <f>'CEI LULU MONTEIRO DE CASTRO'!D18</f>
        <v/>
      </c>
    </row>
    <row r="2197" ht="15" customHeight="1" s="163">
      <c r="A2197" s="319">
        <f>'CEI LULU MONTEIRO DE CASTRO'!I19</f>
        <v/>
      </c>
      <c r="B2197" s="320">
        <f>'CEI LULU MONTEIRO DE CASTRO'!D19</f>
        <v/>
      </c>
    </row>
    <row r="2198" ht="15" customHeight="1" s="163">
      <c r="A2198" s="319">
        <f>'CEI LULU MONTEIRO DE CASTRO'!I20</f>
        <v/>
      </c>
      <c r="B2198" s="320">
        <f>'CEI LULU MONTEIRO DE CASTRO'!D20</f>
        <v/>
      </c>
    </row>
    <row r="2199" ht="15" customHeight="1" s="163">
      <c r="A2199" s="319">
        <f>'CEI LULU MONTEIRO DE CASTRO'!I21</f>
        <v/>
      </c>
      <c r="B2199" s="320">
        <f>'CEI LULU MONTEIRO DE CASTRO'!D21</f>
        <v/>
      </c>
    </row>
    <row r="2200" ht="15" customHeight="1" s="163">
      <c r="A2200" s="319">
        <f>'CEI LULU MONTEIRO DE CASTRO'!I22</f>
        <v/>
      </c>
      <c r="B2200" s="320">
        <f>'CEI LULU MONTEIRO DE CASTRO'!D22</f>
        <v/>
      </c>
    </row>
    <row r="2201" ht="15" customHeight="1" s="163">
      <c r="A2201" s="319">
        <f>'CEI LULU MONTEIRO DE CASTRO'!I23</f>
        <v/>
      </c>
      <c r="B2201" s="320">
        <f>'CEI LULU MONTEIRO DE CASTRO'!D23</f>
        <v/>
      </c>
    </row>
    <row r="2202" ht="15" customHeight="1" s="163">
      <c r="A2202" s="319">
        <f>'CEI LULU MONTEIRO DE CASTRO'!I24</f>
        <v/>
      </c>
      <c r="B2202" s="320">
        <f>'CEI LULU MONTEIRO DE CASTRO'!D24</f>
        <v/>
      </c>
    </row>
    <row r="2203" ht="15" customHeight="1" s="163">
      <c r="A2203" s="319">
        <f>'CEI LULU MONTEIRO DE CASTRO'!I25</f>
        <v/>
      </c>
      <c r="B2203" s="320">
        <f>'CEI LULU MONTEIRO DE CASTRO'!D25</f>
        <v/>
      </c>
    </row>
    <row r="2204" ht="15" customHeight="1" s="163">
      <c r="A2204" s="319">
        <f>'CEI LULU MONTEIRO DE CASTRO'!I26</f>
        <v/>
      </c>
      <c r="B2204" s="320">
        <f>'CEI LULU MONTEIRO DE CASTRO'!D26</f>
        <v/>
      </c>
    </row>
    <row r="2205" ht="15" customHeight="1" s="163">
      <c r="A2205" s="319">
        <f>'CEI LULU MONTEIRO DE CASTRO'!I27</f>
        <v/>
      </c>
      <c r="B2205" s="320">
        <f>'CEI LULU MONTEIRO DE CASTRO'!D27</f>
        <v/>
      </c>
    </row>
    <row r="2206" ht="15" customHeight="1" s="163">
      <c r="A2206" s="319">
        <f>'CEI SÃO JOÃO BATISTA'!I9</f>
        <v/>
      </c>
      <c r="B2206" s="320">
        <f>'CEI SÃO JOÃO BATISTA'!D9</f>
        <v/>
      </c>
    </row>
    <row r="2207" ht="15" customHeight="1" s="163">
      <c r="A2207" s="319">
        <f>'CEI SÃO JOÃO BATISTA'!I10</f>
        <v/>
      </c>
      <c r="B2207" s="320">
        <f>'CEI SÃO JOÃO BATISTA'!D10</f>
        <v/>
      </c>
    </row>
    <row r="2208" ht="15" customHeight="1" s="163">
      <c r="A2208" s="319">
        <f>'CEI SÃO JOÃO BATISTA'!I11</f>
        <v/>
      </c>
      <c r="B2208" s="320">
        <f>'CEI SÃO JOÃO BATISTA'!D11</f>
        <v/>
      </c>
    </row>
    <row r="2209" ht="15" customHeight="1" s="163">
      <c r="A2209" s="319">
        <f>'CEI SÃO JOÃO BATISTA'!I12</f>
        <v/>
      </c>
      <c r="B2209" s="320">
        <f>'CEI SÃO JOÃO BATISTA'!D12</f>
        <v/>
      </c>
    </row>
    <row r="2210" ht="15" customHeight="1" s="163">
      <c r="A2210" s="319">
        <f>'CEI SÃO JOÃO BATISTA'!I13</f>
        <v/>
      </c>
      <c r="B2210" s="320">
        <f>'CEI SÃO JOÃO BATISTA'!D13</f>
        <v/>
      </c>
    </row>
    <row r="2211" ht="15" customHeight="1" s="163">
      <c r="A2211" s="319">
        <f>'CEI SÃO JOÃO BATISTA'!I14</f>
        <v/>
      </c>
      <c r="B2211" s="320">
        <f>'CEI SÃO JOÃO BATISTA'!D14</f>
        <v/>
      </c>
    </row>
    <row r="2212" ht="15" customHeight="1" s="163">
      <c r="A2212" s="319">
        <f>'CEI SÃO JOÃO BATISTA'!I15</f>
        <v/>
      </c>
      <c r="B2212" s="320">
        <f>'CEI SÃO JOÃO BATISTA'!D15</f>
        <v/>
      </c>
    </row>
    <row r="2213" ht="15" customHeight="1" s="163">
      <c r="A2213" s="319">
        <f>'CEI SÃO JOÃO BATISTA'!I16</f>
        <v/>
      </c>
      <c r="B2213" s="320">
        <f>'CEI SÃO JOÃO BATISTA'!D16</f>
        <v/>
      </c>
    </row>
    <row r="2214" ht="15" customHeight="1" s="163">
      <c r="A2214" s="319">
        <f>'CEI SÃO JOÃO BATISTA'!I17</f>
        <v/>
      </c>
      <c r="B2214" s="320">
        <f>'CEI SÃO JOÃO BATISTA'!D17</f>
        <v/>
      </c>
    </row>
    <row r="2215" ht="15" customHeight="1" s="163">
      <c r="A2215" s="319">
        <f>'CEI SÃO JOÃO BATISTA'!I18</f>
        <v/>
      </c>
      <c r="B2215" s="320">
        <f>'CEI SÃO JOÃO BATISTA'!D18</f>
        <v/>
      </c>
    </row>
    <row r="2216" ht="15" customHeight="1" s="163">
      <c r="A2216" s="319">
        <f>'CEI SÃO JOÃO BATISTA'!I19</f>
        <v/>
      </c>
      <c r="B2216" s="320">
        <f>'CEI SÃO JOÃO BATISTA'!D19</f>
        <v/>
      </c>
    </row>
    <row r="2217" ht="15" customHeight="1" s="163">
      <c r="A2217" s="319">
        <f>'CEI SÃO JOÃO BATISTA'!I20</f>
        <v/>
      </c>
      <c r="B2217" s="320">
        <f>'CEI SÃO JOÃO BATISTA'!D20</f>
        <v/>
      </c>
    </row>
    <row r="2218" ht="15" customHeight="1" s="163">
      <c r="A2218" s="319">
        <f>'CEI SÃO JOÃO BATISTA'!I21</f>
        <v/>
      </c>
      <c r="B2218" s="320">
        <f>'CEI SÃO JOÃO BATISTA'!D21</f>
        <v/>
      </c>
    </row>
    <row r="2219" ht="15" customHeight="1" s="163">
      <c r="A2219" s="319">
        <f>'CEI SÃO JOÃO BATISTA'!I22</f>
        <v/>
      </c>
      <c r="B2219" s="320">
        <f>'CEI SÃO JOÃO BATISTA'!D22</f>
        <v/>
      </c>
    </row>
    <row r="2220" ht="15" customHeight="1" s="163">
      <c r="A2220" s="319">
        <f>'CEI SÃO JOÃO BATISTA'!I23</f>
        <v/>
      </c>
      <c r="B2220" s="320">
        <f>'CEI SÃO JOÃO BATISTA'!D23</f>
        <v/>
      </c>
    </row>
    <row r="2221" ht="15" customHeight="1" s="163">
      <c r="A2221" s="319">
        <f>'CEI SÃO JOÃO BATISTA'!I24</f>
        <v/>
      </c>
      <c r="B2221" s="320">
        <f>'CEI SÃO JOÃO BATISTA'!D24</f>
        <v/>
      </c>
    </row>
    <row r="2222" ht="15" customHeight="1" s="163">
      <c r="A2222" s="319">
        <f>'CEI SÃO JOÃO BATISTA'!I25</f>
        <v/>
      </c>
      <c r="B2222" s="320">
        <f>'CEI SÃO JOÃO BATISTA'!D25</f>
        <v/>
      </c>
    </row>
    <row r="2223" ht="15" customHeight="1" s="163">
      <c r="A2223" s="319">
        <f>'CEI SÃO JOÃO BATISTA'!I26</f>
        <v/>
      </c>
      <c r="B2223" s="320">
        <f>'CEI SÃO JOÃO BATISTA'!D26</f>
        <v/>
      </c>
    </row>
    <row r="2224" ht="15" customHeight="1" s="163">
      <c r="A2224" s="319">
        <f>'CEI SÃO JOÃO BATISTA'!I27</f>
        <v/>
      </c>
      <c r="B2224" s="320">
        <f>'CEI SÃO JOÃO BATISTA'!D27</f>
        <v/>
      </c>
    </row>
    <row r="2225" ht="15" customHeight="1" s="163">
      <c r="A2225" s="319">
        <f>'CEI SÃO FRANCISCO ASSIS'!I9</f>
        <v/>
      </c>
      <c r="B2225" s="320">
        <f>'CEI SÃO FRANCISCO ASSIS'!D9</f>
        <v/>
      </c>
    </row>
    <row r="2226" ht="15" customHeight="1" s="163">
      <c r="A2226" s="319">
        <f>'CEI SÃO FRANCISCO ASSIS'!I10</f>
        <v/>
      </c>
      <c r="B2226" s="320">
        <f>'CEI SÃO FRANCISCO ASSIS'!D10</f>
        <v/>
      </c>
    </row>
    <row r="2227" ht="15" customHeight="1" s="163">
      <c r="A2227" s="319">
        <f>'CEI SÃO FRANCISCO ASSIS'!I11</f>
        <v/>
      </c>
      <c r="B2227" s="320">
        <f>'CEI SÃO FRANCISCO ASSIS'!D11</f>
        <v/>
      </c>
    </row>
    <row r="2228" ht="15" customHeight="1" s="163">
      <c r="A2228" s="319">
        <f>'CEI SÃO FRANCISCO ASSIS'!I12</f>
        <v/>
      </c>
      <c r="B2228" s="320">
        <f>'CEI SÃO FRANCISCO ASSIS'!D12</f>
        <v/>
      </c>
    </row>
    <row r="2229" ht="15" customHeight="1" s="163">
      <c r="A2229" s="319">
        <f>'CEI SÃO FRANCISCO ASSIS'!I13</f>
        <v/>
      </c>
      <c r="B2229" s="320">
        <f>'CEI SÃO FRANCISCO ASSIS'!D13</f>
        <v/>
      </c>
    </row>
    <row r="2230" ht="15" customHeight="1" s="163">
      <c r="A2230" s="319">
        <f>'CEI SÃO FRANCISCO ASSIS'!I14</f>
        <v/>
      </c>
      <c r="B2230" s="320">
        <f>'CEI SÃO FRANCISCO ASSIS'!D14</f>
        <v/>
      </c>
    </row>
    <row r="2231" ht="15" customHeight="1" s="163">
      <c r="A2231" s="319">
        <f>'CEI SÃO FRANCISCO ASSIS'!I15</f>
        <v/>
      </c>
      <c r="B2231" s="320">
        <f>'CEI SÃO FRANCISCO ASSIS'!D15</f>
        <v/>
      </c>
    </row>
    <row r="2232" ht="15" customHeight="1" s="163">
      <c r="A2232" s="319">
        <f>'CEI SÃO FRANCISCO ASSIS'!I16</f>
        <v/>
      </c>
      <c r="B2232" s="320">
        <f>'CEI SÃO FRANCISCO ASSIS'!D16</f>
        <v/>
      </c>
    </row>
    <row r="2233" ht="15" customHeight="1" s="163">
      <c r="A2233" s="319">
        <f>'CEI SÃO FRANCISCO ASSIS'!I17</f>
        <v/>
      </c>
      <c r="B2233" s="320">
        <f>'CEI SÃO FRANCISCO ASSIS'!D17</f>
        <v/>
      </c>
    </row>
    <row r="2234" ht="15" customHeight="1" s="163">
      <c r="A2234" s="319">
        <f>'CEI SÃO FRANCISCO ASSIS'!I18</f>
        <v/>
      </c>
      <c r="B2234" s="320">
        <f>'CEI SÃO FRANCISCO ASSIS'!D18</f>
        <v/>
      </c>
    </row>
    <row r="2235" ht="15" customHeight="1" s="163">
      <c r="A2235" s="319">
        <f>'CEI SÃO FRANCISCO ASSIS'!I19</f>
        <v/>
      </c>
      <c r="B2235" s="320">
        <f>'CEI SÃO FRANCISCO ASSIS'!D19</f>
        <v/>
      </c>
    </row>
    <row r="2236" ht="15" customHeight="1" s="163">
      <c r="A2236" s="319">
        <f>'CEI SÃO FRANCISCO ASSIS'!I20</f>
        <v/>
      </c>
      <c r="B2236" s="320">
        <f>'CEI SÃO FRANCISCO ASSIS'!D20</f>
        <v/>
      </c>
    </row>
    <row r="2237" ht="15" customHeight="1" s="163">
      <c r="A2237" s="319">
        <f>'CEI SÃO FRANCISCO ASSIS'!I21</f>
        <v/>
      </c>
      <c r="B2237" s="320">
        <f>'CEI SÃO FRANCISCO ASSIS'!D21</f>
        <v/>
      </c>
    </row>
    <row r="2238" ht="15" customHeight="1" s="163">
      <c r="A2238" s="319">
        <f>'CEI SÃO FRANCISCO ASSIS'!I22</f>
        <v/>
      </c>
      <c r="B2238" s="320">
        <f>'CEI SÃO FRANCISCO ASSIS'!D22</f>
        <v/>
      </c>
    </row>
    <row r="2239" ht="15" customHeight="1" s="163">
      <c r="A2239" s="319">
        <f>'CEI SÃO FRANCISCO ASSIS'!I23</f>
        <v/>
      </c>
      <c r="B2239" s="320">
        <f>'CEI SÃO FRANCISCO ASSIS'!D23</f>
        <v/>
      </c>
    </row>
    <row r="2240" ht="15" customHeight="1" s="163">
      <c r="A2240" s="319">
        <f>'CEI SÃO FRANCISCO ASSIS'!I24</f>
        <v/>
      </c>
      <c r="B2240" s="320">
        <f>'CEI SÃO FRANCISCO ASSIS'!D24</f>
        <v/>
      </c>
    </row>
    <row r="2241" ht="15" customHeight="1" s="163">
      <c r="A2241" s="319">
        <f>'CEI SÃO FRANCISCO ASSIS'!I25</f>
        <v/>
      </c>
      <c r="B2241" s="320">
        <f>'CEI SÃO FRANCISCO ASSIS'!D25</f>
        <v/>
      </c>
    </row>
    <row r="2242" ht="15" customHeight="1" s="163">
      <c r="A2242" s="319">
        <f>'CEI SÃO FRANCISCO ASSIS'!I26</f>
        <v/>
      </c>
      <c r="B2242" s="320">
        <f>'CEI SÃO FRANCISCO ASSIS'!D26</f>
        <v/>
      </c>
    </row>
    <row r="2243" ht="15" customHeight="1" s="163">
      <c r="A2243" s="319">
        <f>'CEI SÃO FRANCISCO ASSIS'!I27</f>
        <v/>
      </c>
      <c r="B2243" s="320">
        <f>'CEI SÃO FRANCISCO ASSIS'!D27</f>
        <v/>
      </c>
    </row>
    <row r="2244" ht="15" customHeight="1" s="163">
      <c r="A2244" s="319">
        <f>'CEI A SEMENTEIRA'!I9</f>
        <v/>
      </c>
      <c r="B2244" s="320">
        <f>'CEI A SEMENTEIRA'!D9</f>
        <v/>
      </c>
    </row>
    <row r="2245" ht="15" customHeight="1" s="163">
      <c r="A2245" s="319">
        <f>'CEI A SEMENTEIRA'!I10</f>
        <v/>
      </c>
      <c r="B2245" s="320">
        <f>'CEI A SEMENTEIRA'!D10</f>
        <v/>
      </c>
    </row>
    <row r="2246" ht="15" customHeight="1" s="163">
      <c r="A2246" s="319">
        <f>'CEI A SEMENTEIRA'!I11</f>
        <v/>
      </c>
      <c r="B2246" s="320">
        <f>'CEI A SEMENTEIRA'!D11</f>
        <v/>
      </c>
    </row>
    <row r="2247" ht="15" customHeight="1" s="163">
      <c r="A2247" s="319">
        <f>'CEI A SEMENTEIRA'!I12</f>
        <v/>
      </c>
      <c r="B2247" s="320">
        <f>'CEI A SEMENTEIRA'!D12</f>
        <v/>
      </c>
    </row>
    <row r="2248" ht="15" customHeight="1" s="163">
      <c r="A2248" s="319">
        <f>'CEI A SEMENTEIRA'!I13</f>
        <v/>
      </c>
      <c r="B2248" s="320">
        <f>'CEI A SEMENTEIRA'!D13</f>
        <v/>
      </c>
    </row>
    <row r="2249" ht="15" customHeight="1" s="163">
      <c r="A2249" s="319">
        <f>'CEI A SEMENTEIRA'!I14</f>
        <v/>
      </c>
      <c r="B2249" s="320">
        <f>'CEI A SEMENTEIRA'!D14</f>
        <v/>
      </c>
    </row>
    <row r="2250" ht="15" customHeight="1" s="163">
      <c r="A2250" s="319">
        <f>'CEI A SEMENTEIRA'!I15</f>
        <v/>
      </c>
      <c r="B2250" s="320">
        <f>'CEI A SEMENTEIRA'!D15</f>
        <v/>
      </c>
    </row>
    <row r="2251" ht="15" customHeight="1" s="163">
      <c r="A2251" s="319">
        <f>'CEI A SEMENTEIRA'!I16</f>
        <v/>
      </c>
      <c r="B2251" s="320">
        <f>'CEI A SEMENTEIRA'!D16</f>
        <v/>
      </c>
    </row>
    <row r="2252" ht="15" customHeight="1" s="163">
      <c r="A2252" s="319">
        <f>'CEI A SEMENTEIRA'!I17</f>
        <v/>
      </c>
      <c r="B2252" s="320">
        <f>'CEI A SEMENTEIRA'!D17</f>
        <v/>
      </c>
    </row>
    <row r="2253" ht="15" customHeight="1" s="163">
      <c r="A2253" s="319">
        <f>'CEI A SEMENTEIRA'!I18</f>
        <v/>
      </c>
      <c r="B2253" s="320">
        <f>'CEI A SEMENTEIRA'!D18</f>
        <v/>
      </c>
    </row>
    <row r="2254" ht="15" customHeight="1" s="163">
      <c r="A2254" s="319">
        <f>'CEI A SEMENTEIRA'!I19</f>
        <v/>
      </c>
      <c r="B2254" s="320">
        <f>'CEI A SEMENTEIRA'!D19</f>
        <v/>
      </c>
    </row>
    <row r="2255" ht="15" customHeight="1" s="163">
      <c r="A2255" s="319">
        <f>'CEI A SEMENTEIRA'!I20</f>
        <v/>
      </c>
      <c r="B2255" s="320">
        <f>'CEI A SEMENTEIRA'!D20</f>
        <v/>
      </c>
    </row>
    <row r="2256" ht="15" customHeight="1" s="163">
      <c r="A2256" s="319">
        <f>'CEI A SEMENTEIRA'!I21</f>
        <v/>
      </c>
      <c r="B2256" s="320">
        <f>'CEI A SEMENTEIRA'!D21</f>
        <v/>
      </c>
    </row>
    <row r="2257" ht="15" customHeight="1" s="163">
      <c r="A2257" s="319">
        <f>'CEI A SEMENTEIRA'!I22</f>
        <v/>
      </c>
      <c r="B2257" s="320">
        <f>'CEI A SEMENTEIRA'!D22</f>
        <v/>
      </c>
    </row>
    <row r="2258" ht="15" customHeight="1" s="163">
      <c r="A2258" s="319">
        <f>'CEI A SEMENTEIRA'!I23</f>
        <v/>
      </c>
      <c r="B2258" s="320">
        <f>'CEI A SEMENTEIRA'!D23</f>
        <v/>
      </c>
    </row>
    <row r="2259" ht="15" customHeight="1" s="163">
      <c r="A2259" s="319">
        <f>'CEI A SEMENTEIRA'!I24</f>
        <v/>
      </c>
      <c r="B2259" s="320">
        <f>'CEI A SEMENTEIRA'!D24</f>
        <v/>
      </c>
    </row>
    <row r="2260" ht="15" customHeight="1" s="163">
      <c r="A2260" s="319">
        <f>'CEI A SEMENTEIRA'!I25</f>
        <v/>
      </c>
      <c r="B2260" s="320">
        <f>'CEI A SEMENTEIRA'!D25</f>
        <v/>
      </c>
    </row>
    <row r="2261" ht="15" customHeight="1" s="163">
      <c r="A2261" s="319">
        <f>'CEI A SEMENTEIRA'!I26</f>
        <v/>
      </c>
      <c r="B2261" s="320">
        <f>'CEI A SEMENTEIRA'!D26</f>
        <v/>
      </c>
    </row>
    <row r="2262" ht="15" customHeight="1" s="163">
      <c r="A2262" s="319">
        <f>'CEI A SEMENTEIRA'!I27</f>
        <v/>
      </c>
      <c r="B2262" s="320">
        <f>'CEI A SEMENTEIRA'!D27</f>
        <v/>
      </c>
    </row>
    <row r="2263" ht="15" customHeight="1" s="163">
      <c r="A2263" s="319">
        <f>'CEI FREI LEÃO'!I9</f>
        <v/>
      </c>
      <c r="B2263" s="320">
        <f>'CEI FREI LEÃO'!D9</f>
        <v/>
      </c>
    </row>
    <row r="2264" ht="15" customHeight="1" s="163">
      <c r="A2264" s="319">
        <f>'CEI FREI LEÃO'!I10</f>
        <v/>
      </c>
      <c r="B2264" s="320">
        <f>'CEI FREI LEÃO'!D10</f>
        <v/>
      </c>
    </row>
    <row r="2265" ht="15" customHeight="1" s="163">
      <c r="A2265" s="319">
        <f>'CEI FREI LEÃO'!I11</f>
        <v/>
      </c>
      <c r="B2265" s="320">
        <f>'CEI FREI LEÃO'!D11</f>
        <v/>
      </c>
    </row>
    <row r="2266" ht="15" customHeight="1" s="163">
      <c r="A2266" s="319">
        <f>'CEI FREI LEÃO'!I12</f>
        <v/>
      </c>
      <c r="B2266" s="320">
        <f>'CEI FREI LEÃO'!D12</f>
        <v/>
      </c>
    </row>
    <row r="2267" ht="15" customHeight="1" s="163">
      <c r="A2267" s="319">
        <f>'CEI FREI LEÃO'!I13</f>
        <v/>
      </c>
      <c r="B2267" s="320">
        <f>'CEI FREI LEÃO'!D13</f>
        <v/>
      </c>
    </row>
    <row r="2268" ht="15" customHeight="1" s="163">
      <c r="A2268" s="319">
        <f>'CEI FREI LEÃO'!I14</f>
        <v/>
      </c>
      <c r="B2268" s="320">
        <f>'CEI FREI LEÃO'!D14</f>
        <v/>
      </c>
    </row>
    <row r="2269" ht="15" customHeight="1" s="163">
      <c r="A2269" s="319">
        <f>'CEI FREI LEÃO'!I15</f>
        <v/>
      </c>
      <c r="B2269" s="320">
        <f>'CEI FREI LEÃO'!D15</f>
        <v/>
      </c>
    </row>
    <row r="2270" ht="15" customHeight="1" s="163">
      <c r="A2270" s="319">
        <f>'CEI FREI LEÃO'!I16</f>
        <v/>
      </c>
      <c r="B2270" s="320">
        <f>'CEI FREI LEÃO'!D16</f>
        <v/>
      </c>
    </row>
    <row r="2271" ht="15" customHeight="1" s="163">
      <c r="A2271" s="319">
        <f>'CEI FREI LEÃO'!I17</f>
        <v/>
      </c>
      <c r="B2271" s="320">
        <f>'CEI FREI LEÃO'!D17</f>
        <v/>
      </c>
    </row>
    <row r="2272" ht="15" customHeight="1" s="163">
      <c r="A2272" s="319">
        <f>'CEI FREI LEÃO'!I18</f>
        <v/>
      </c>
      <c r="B2272" s="320">
        <f>'CEI FREI LEÃO'!D18</f>
        <v/>
      </c>
    </row>
    <row r="2273" ht="15" customHeight="1" s="163">
      <c r="A2273" s="319">
        <f>'CEI FREI LEÃO'!I19</f>
        <v/>
      </c>
      <c r="B2273" s="320">
        <f>'CEI FREI LEÃO'!D19</f>
        <v/>
      </c>
    </row>
    <row r="2274" ht="15" customHeight="1" s="163">
      <c r="A2274" s="319">
        <f>'CEI FREI LEÃO'!I20</f>
        <v/>
      </c>
      <c r="B2274" s="320">
        <f>'CEI FREI LEÃO'!D20</f>
        <v/>
      </c>
    </row>
    <row r="2275" ht="15" customHeight="1" s="163">
      <c r="A2275" s="319">
        <f>'CEI FREI LEÃO'!I21</f>
        <v/>
      </c>
      <c r="B2275" s="320">
        <f>'CEI FREI LEÃO'!D21</f>
        <v/>
      </c>
    </row>
    <row r="2276" ht="15" customHeight="1" s="163">
      <c r="A2276" s="319">
        <f>'CEI FREI LEÃO'!I22</f>
        <v/>
      </c>
      <c r="B2276" s="320">
        <f>'CEI FREI LEÃO'!D22</f>
        <v/>
      </c>
    </row>
    <row r="2277" ht="15" customHeight="1" s="163">
      <c r="A2277" s="319">
        <f>'CEI FREI LEÃO'!I23</f>
        <v/>
      </c>
      <c r="B2277" s="320">
        <f>'CEI FREI LEÃO'!D23</f>
        <v/>
      </c>
    </row>
    <row r="2278" ht="15" customHeight="1" s="163">
      <c r="A2278" s="319">
        <f>'CEI FREI LEÃO'!I24</f>
        <v/>
      </c>
      <c r="B2278" s="320">
        <f>'CEI FREI LEÃO'!D24</f>
        <v/>
      </c>
    </row>
    <row r="2279" ht="15" customHeight="1" s="163">
      <c r="A2279" s="319">
        <f>'CEI FREI LEÃO'!I25</f>
        <v/>
      </c>
      <c r="B2279" s="320">
        <f>'CEI FREI LEÃO'!D25</f>
        <v/>
      </c>
    </row>
    <row r="2280" ht="15" customHeight="1" s="163">
      <c r="A2280" s="319">
        <f>'CEI FREI LEÃO'!I26</f>
        <v/>
      </c>
      <c r="B2280" s="320">
        <f>'CEI FREI LEÃO'!D26</f>
        <v/>
      </c>
    </row>
    <row r="2281" ht="15" customHeight="1" s="163">
      <c r="A2281" s="319">
        <f>'CEI FREI LEÃO'!I27</f>
        <v/>
      </c>
      <c r="B2281" s="320">
        <f>'CEI FREI LEÃO'!D27</f>
        <v/>
      </c>
    </row>
    <row r="2282" ht="15" customHeight="1" s="163">
      <c r="A2282" s="319">
        <f>'CEI ROMANO CANAVESE'!I9</f>
        <v/>
      </c>
      <c r="B2282" s="320">
        <f>'CEI ROMANO CANAVESE'!D9</f>
        <v/>
      </c>
    </row>
    <row r="2283" ht="15" customHeight="1" s="163">
      <c r="A2283" s="319">
        <f>'CEI ROMANO CANAVESE'!I10</f>
        <v/>
      </c>
      <c r="B2283" s="320">
        <f>'CEI ROMANO CANAVESE'!D10</f>
        <v/>
      </c>
    </row>
    <row r="2284" ht="15" customHeight="1" s="163">
      <c r="A2284" s="319">
        <f>'CEI ROMANO CANAVESE'!I11</f>
        <v/>
      </c>
      <c r="B2284" s="320">
        <f>'CEI ROMANO CANAVESE'!D11</f>
        <v/>
      </c>
    </row>
    <row r="2285" ht="15" customHeight="1" s="163">
      <c r="A2285" s="319">
        <f>'CEI ROMANO CANAVESE'!I12</f>
        <v/>
      </c>
      <c r="B2285" s="320">
        <f>'CEI ROMANO CANAVESE'!D12</f>
        <v/>
      </c>
    </row>
    <row r="2286" ht="15" customHeight="1" s="163">
      <c r="A2286" s="319">
        <f>'CEI ROMANO CANAVESE'!I13</f>
        <v/>
      </c>
      <c r="B2286" s="320">
        <f>'CEI ROMANO CANAVESE'!D13</f>
        <v/>
      </c>
    </row>
    <row r="2287" ht="15" customHeight="1" s="163">
      <c r="A2287" s="319">
        <f>'CEI ROMANO CANAVESE'!I14</f>
        <v/>
      </c>
      <c r="B2287" s="320">
        <f>'CEI ROMANO CANAVESE'!D14</f>
        <v/>
      </c>
    </row>
    <row r="2288" ht="15" customHeight="1" s="163">
      <c r="A2288" s="319">
        <f>'CEI ROMANO CANAVESE'!I15</f>
        <v/>
      </c>
      <c r="B2288" s="320">
        <f>'CEI ROMANO CANAVESE'!D15</f>
        <v/>
      </c>
    </row>
    <row r="2289" ht="15" customHeight="1" s="163">
      <c r="A2289" s="319">
        <f>'CEI ROMANO CANAVESE'!I16</f>
        <v/>
      </c>
      <c r="B2289" s="320">
        <f>'CEI ROMANO CANAVESE'!D16</f>
        <v/>
      </c>
    </row>
    <row r="2290" ht="15" customHeight="1" s="163">
      <c r="A2290" s="319">
        <f>'CEI ROMANO CANAVESE'!I17</f>
        <v/>
      </c>
      <c r="B2290" s="320">
        <f>'CEI ROMANO CANAVESE'!D17</f>
        <v/>
      </c>
    </row>
    <row r="2291" ht="15" customHeight="1" s="163">
      <c r="A2291" s="319">
        <f>'CEI ROMANO CANAVESE'!I18</f>
        <v/>
      </c>
      <c r="B2291" s="320">
        <f>'CEI ROMANO CANAVESE'!D18</f>
        <v/>
      </c>
    </row>
    <row r="2292" ht="15" customHeight="1" s="163">
      <c r="A2292" s="319">
        <f>'CEI ROMANO CANAVESE'!I19</f>
        <v/>
      </c>
      <c r="B2292" s="320">
        <f>'CEI ROMANO CANAVESE'!D19</f>
        <v/>
      </c>
    </row>
    <row r="2293" ht="15" customHeight="1" s="163">
      <c r="A2293" s="319">
        <f>'CEI ROMANO CANAVESE'!I20</f>
        <v/>
      </c>
      <c r="B2293" s="320">
        <f>'CEI ROMANO CANAVESE'!D20</f>
        <v/>
      </c>
    </row>
    <row r="2294" ht="15" customHeight="1" s="163">
      <c r="A2294" s="319">
        <f>'CEI ROMANO CANAVESE'!I21</f>
        <v/>
      </c>
      <c r="B2294" s="320">
        <f>'CEI ROMANO CANAVESE'!D21</f>
        <v/>
      </c>
    </row>
    <row r="2295" ht="15" customHeight="1" s="163">
      <c r="A2295" s="319">
        <f>'CEI ROMANO CANAVESE'!I22</f>
        <v/>
      </c>
      <c r="B2295" s="320">
        <f>'CEI ROMANO CANAVESE'!D22</f>
        <v/>
      </c>
    </row>
    <row r="2296" ht="15" customHeight="1" s="163">
      <c r="A2296" s="319">
        <f>'CEI ROMANO CANAVESE'!I23</f>
        <v/>
      </c>
      <c r="B2296" s="320">
        <f>'CEI ROMANO CANAVESE'!D23</f>
        <v/>
      </c>
    </row>
    <row r="2297" ht="15" customHeight="1" s="163">
      <c r="A2297" s="319">
        <f>'CEI ROMANO CANAVESE'!I24</f>
        <v/>
      </c>
      <c r="B2297" s="320">
        <f>'CEI ROMANO CANAVESE'!D24</f>
        <v/>
      </c>
    </row>
    <row r="2298" ht="15" customHeight="1" s="163">
      <c r="A2298" s="319">
        <f>'CEI ROMANO CANAVESE'!I25</f>
        <v/>
      </c>
      <c r="B2298" s="320">
        <f>'CEI ROMANO CANAVESE'!D25</f>
        <v/>
      </c>
    </row>
    <row r="2299" ht="15" customHeight="1" s="163">
      <c r="A2299" s="319">
        <f>'CEI ROMANO CANAVESE'!I26</f>
        <v/>
      </c>
      <c r="B2299" s="320">
        <f>'CEI ROMANO CANAVESE'!D26</f>
        <v/>
      </c>
    </row>
    <row r="2300" ht="15" customHeight="1" s="163">
      <c r="A2300" s="319">
        <f>'CEI ROMANO CANAVESE'!I27</f>
        <v/>
      </c>
      <c r="B2300" s="320">
        <f>'CEI ROMANO CANAVESE'!D27</f>
        <v/>
      </c>
    </row>
    <row r="2301" ht="15" customHeight="1" s="163">
      <c r="A2301" s="319">
        <f>'CEI ANDRÉ VANZAN'!I9</f>
        <v/>
      </c>
      <c r="B2301" s="320">
        <f>'CEI ANDRÉ VANZAN'!D9</f>
        <v/>
      </c>
    </row>
    <row r="2302" ht="15" customHeight="1" s="163">
      <c r="A2302" s="319">
        <f>'CEI ANDRÉ VANZAN'!I10</f>
        <v/>
      </c>
      <c r="B2302" s="320">
        <f>'CEI ANDRÉ VANZAN'!D10</f>
        <v/>
      </c>
    </row>
    <row r="2303" ht="15" customHeight="1" s="163">
      <c r="A2303" s="319">
        <f>'CEI ANDRÉ VANZAN'!I11</f>
        <v/>
      </c>
      <c r="B2303" s="320">
        <f>'CEI ANDRÉ VANZAN'!D11</f>
        <v/>
      </c>
    </row>
    <row r="2304" ht="15" customHeight="1" s="163">
      <c r="A2304" s="319">
        <f>'CEI ANDRÉ VANZAN'!I12</f>
        <v/>
      </c>
      <c r="B2304" s="320">
        <f>'CEI ANDRÉ VANZAN'!D12</f>
        <v/>
      </c>
    </row>
    <row r="2305" ht="15" customHeight="1" s="163">
      <c r="A2305" s="319">
        <f>'CEI ANDRÉ VANZAN'!I13</f>
        <v/>
      </c>
      <c r="B2305" s="320">
        <f>'CEI ANDRÉ VANZAN'!D13</f>
        <v/>
      </c>
    </row>
    <row r="2306" ht="15" customHeight="1" s="163">
      <c r="A2306" s="319">
        <f>'CEI ANDRÉ VANZAN'!I14</f>
        <v/>
      </c>
      <c r="B2306" s="320">
        <f>'CEI ANDRÉ VANZAN'!D14</f>
        <v/>
      </c>
    </row>
    <row r="2307" ht="15" customHeight="1" s="163">
      <c r="A2307" s="319">
        <f>'CEI ANDRÉ VANZAN'!I15</f>
        <v/>
      </c>
      <c r="B2307" s="320">
        <f>'CEI ANDRÉ VANZAN'!D15</f>
        <v/>
      </c>
    </row>
    <row r="2308" ht="15" customHeight="1" s="163">
      <c r="A2308" s="319">
        <f>'CEI ANDRÉ VANZAN'!I16</f>
        <v/>
      </c>
      <c r="B2308" s="320">
        <f>'CEI ANDRÉ VANZAN'!D16</f>
        <v/>
      </c>
    </row>
    <row r="2309" ht="15" customHeight="1" s="163">
      <c r="A2309" s="319">
        <f>'CEI ANDRÉ VANZAN'!I17</f>
        <v/>
      </c>
      <c r="B2309" s="320">
        <f>'CEI ANDRÉ VANZAN'!D17</f>
        <v/>
      </c>
    </row>
    <row r="2310" ht="15" customHeight="1" s="163">
      <c r="A2310" s="319">
        <f>'CEI ANDRÉ VANZAN'!I18</f>
        <v/>
      </c>
      <c r="B2310" s="320">
        <f>'CEI ANDRÉ VANZAN'!D18</f>
        <v/>
      </c>
    </row>
    <row r="2311" ht="15" customHeight="1" s="163">
      <c r="A2311" s="319">
        <f>'CEI ANDRÉ VANZAN'!I19</f>
        <v/>
      </c>
      <c r="B2311" s="320">
        <f>'CEI ANDRÉ VANZAN'!D19</f>
        <v/>
      </c>
    </row>
    <row r="2312" ht="15" customHeight="1" s="163">
      <c r="A2312" s="319">
        <f>'CEI ANDRÉ VANZAN'!I20</f>
        <v/>
      </c>
      <c r="B2312" s="320">
        <f>'CEI ANDRÉ VANZAN'!D20</f>
        <v/>
      </c>
    </row>
    <row r="2313" ht="15" customHeight="1" s="163">
      <c r="A2313" s="319">
        <f>'CEI ANDRÉ VANZAN'!I21</f>
        <v/>
      </c>
      <c r="B2313" s="320">
        <f>'CEI ANDRÉ VANZAN'!D21</f>
        <v/>
      </c>
    </row>
    <row r="2314" ht="15" customHeight="1" s="163">
      <c r="A2314" s="319">
        <f>'CEI ANDRÉ VANZAN'!I22</f>
        <v/>
      </c>
      <c r="B2314" s="320">
        <f>'CEI ANDRÉ VANZAN'!D22</f>
        <v/>
      </c>
    </row>
    <row r="2315" ht="15" customHeight="1" s="163">
      <c r="A2315" s="319">
        <f>'CEI ANDRÉ VANZAN'!I23</f>
        <v/>
      </c>
      <c r="B2315" s="320">
        <f>'CEI ANDRÉ VANZAN'!D23</f>
        <v/>
      </c>
    </row>
    <row r="2316" ht="15" customHeight="1" s="163">
      <c r="A2316" s="319">
        <f>'CEI ANDRÉ VANZAN'!I24</f>
        <v/>
      </c>
      <c r="B2316" s="320">
        <f>'CEI ANDRÉ VANZAN'!D24</f>
        <v/>
      </c>
    </row>
    <row r="2317" ht="15" customHeight="1" s="163">
      <c r="A2317" s="319">
        <f>'CEI ANDRÉ VANZAN'!I25</f>
        <v/>
      </c>
      <c r="B2317" s="320">
        <f>'CEI ANDRÉ VANZAN'!D25</f>
        <v/>
      </c>
    </row>
    <row r="2318" ht="15" customHeight="1" s="163">
      <c r="A2318" s="319">
        <f>'CEI ANDRÉ VANZAN'!I26</f>
        <v/>
      </c>
      <c r="B2318" s="320">
        <f>'CEI ANDRÉ VANZAN'!D26</f>
        <v/>
      </c>
    </row>
    <row r="2319" ht="15" customHeight="1" s="163">
      <c r="A2319" s="319">
        <f>'CEI ANDRÉ VANZAN'!I27</f>
        <v/>
      </c>
      <c r="B2319" s="320">
        <f>'CEI ANDRÉ VANZAN'!D27</f>
        <v/>
      </c>
    </row>
    <row r="2320" ht="15" customHeight="1" s="163">
      <c r="A2320" s="319">
        <f>'CEI CRIANÇA SANTA EDWIGES'!I9</f>
        <v/>
      </c>
      <c r="B2320" s="320">
        <f>'CEI CRIANÇA SANTA EDWIGES'!D9</f>
        <v/>
      </c>
    </row>
    <row r="2321" ht="15" customHeight="1" s="163">
      <c r="A2321" s="319">
        <f>'CEI CRIANÇA SANTA EDWIGES'!I10</f>
        <v/>
      </c>
      <c r="B2321" s="320">
        <f>'CEI CRIANÇA SANTA EDWIGES'!D10</f>
        <v/>
      </c>
    </row>
    <row r="2322" ht="15" customHeight="1" s="163">
      <c r="A2322" s="319">
        <f>'CEI CRIANÇA SANTA EDWIGES'!I11</f>
        <v/>
      </c>
      <c r="B2322" s="320">
        <f>'CEI CRIANÇA SANTA EDWIGES'!D11</f>
        <v/>
      </c>
    </row>
    <row r="2323" ht="15" customHeight="1" s="163">
      <c r="A2323" s="319">
        <f>'CEI CRIANÇA SANTA EDWIGES'!I12</f>
        <v/>
      </c>
      <c r="B2323" s="320">
        <f>'CEI CRIANÇA SANTA EDWIGES'!D12</f>
        <v/>
      </c>
    </row>
    <row r="2324" ht="15" customHeight="1" s="163">
      <c r="A2324" s="319">
        <f>'CEI CRIANÇA SANTA EDWIGES'!I13</f>
        <v/>
      </c>
      <c r="B2324" s="320">
        <f>'CEI CRIANÇA SANTA EDWIGES'!D13</f>
        <v/>
      </c>
    </row>
    <row r="2325" ht="15" customHeight="1" s="163">
      <c r="A2325" s="319">
        <f>'CEI CRIANÇA SANTA EDWIGES'!I14</f>
        <v/>
      </c>
      <c r="B2325" s="320">
        <f>'CEI CRIANÇA SANTA EDWIGES'!D14</f>
        <v/>
      </c>
    </row>
    <row r="2326" ht="15" customHeight="1" s="163">
      <c r="A2326" s="319">
        <f>'CEI CRIANÇA SANTA EDWIGES'!I15</f>
        <v/>
      </c>
      <c r="B2326" s="320">
        <f>'CEI CRIANÇA SANTA EDWIGES'!D15</f>
        <v/>
      </c>
    </row>
    <row r="2327" ht="15" customHeight="1" s="163">
      <c r="A2327" s="319">
        <f>'CEI CRIANÇA SANTA EDWIGES'!I16</f>
        <v/>
      </c>
      <c r="B2327" s="320">
        <f>'CEI CRIANÇA SANTA EDWIGES'!D16</f>
        <v/>
      </c>
    </row>
    <row r="2328" ht="15" customHeight="1" s="163">
      <c r="A2328" s="319">
        <f>'CEI CRIANÇA SANTA EDWIGES'!I17</f>
        <v/>
      </c>
      <c r="B2328" s="320">
        <f>'CEI CRIANÇA SANTA EDWIGES'!D17</f>
        <v/>
      </c>
    </row>
    <row r="2329" ht="15" customHeight="1" s="163">
      <c r="A2329" s="319">
        <f>'CEI CRIANÇA SANTA EDWIGES'!I18</f>
        <v/>
      </c>
      <c r="B2329" s="320">
        <f>'CEI CRIANÇA SANTA EDWIGES'!D18</f>
        <v/>
      </c>
    </row>
    <row r="2330" ht="15" customHeight="1" s="163">
      <c r="A2330" s="319">
        <f>'CEI CRIANÇA SANTA EDWIGES'!I19</f>
        <v/>
      </c>
      <c r="B2330" s="320">
        <f>'CEI CRIANÇA SANTA EDWIGES'!D19</f>
        <v/>
      </c>
    </row>
    <row r="2331" ht="15" customHeight="1" s="163">
      <c r="A2331" s="319">
        <f>'CEI CRIANÇA SANTA EDWIGES'!I20</f>
        <v/>
      </c>
      <c r="B2331" s="320">
        <f>'CEI CRIANÇA SANTA EDWIGES'!D20</f>
        <v/>
      </c>
    </row>
    <row r="2332" ht="15" customHeight="1" s="163">
      <c r="A2332" s="319">
        <f>'CEI CRIANÇA SANTA EDWIGES'!I21</f>
        <v/>
      </c>
      <c r="B2332" s="320">
        <f>'CEI CRIANÇA SANTA EDWIGES'!D21</f>
        <v/>
      </c>
    </row>
    <row r="2333" ht="15" customHeight="1" s="163">
      <c r="A2333" s="319">
        <f>'CEI CRIANÇA SANTA EDWIGES'!I22</f>
        <v/>
      </c>
      <c r="B2333" s="320">
        <f>'CEI CRIANÇA SANTA EDWIGES'!D22</f>
        <v/>
      </c>
    </row>
    <row r="2334" ht="15" customHeight="1" s="163">
      <c r="A2334" s="319">
        <f>'CEI CRIANÇA SANTA EDWIGES'!I23</f>
        <v/>
      </c>
      <c r="B2334" s="320">
        <f>'CEI CRIANÇA SANTA EDWIGES'!D23</f>
        <v/>
      </c>
    </row>
    <row r="2335" ht="15" customHeight="1" s="163">
      <c r="A2335" s="319">
        <f>'CEI CRIANÇA SANTA EDWIGES'!I24</f>
        <v/>
      </c>
      <c r="B2335" s="320">
        <f>'CEI CRIANÇA SANTA EDWIGES'!D24</f>
        <v/>
      </c>
    </row>
    <row r="2336" ht="15" customHeight="1" s="163">
      <c r="A2336" s="319">
        <f>'CEI CRIANÇA SANTA EDWIGES'!I25</f>
        <v/>
      </c>
      <c r="B2336" s="320">
        <f>'CEI CRIANÇA SANTA EDWIGES'!D25</f>
        <v/>
      </c>
    </row>
    <row r="2337" ht="15" customHeight="1" s="163">
      <c r="A2337" s="319">
        <f>'CEI CRIANÇA SANTA EDWIGES'!I26</f>
        <v/>
      </c>
      <c r="B2337" s="320">
        <f>'CEI CRIANÇA SANTA EDWIGES'!D26</f>
        <v/>
      </c>
    </row>
    <row r="2338" ht="15" customHeight="1" s="163">
      <c r="A2338" s="319">
        <f>'CEI CRIANÇA SANTA EDWIGES'!I27</f>
        <v/>
      </c>
      <c r="B2338" s="320">
        <f>'CEI CRIANÇA SANTA EDWIGES'!D27</f>
        <v/>
      </c>
    </row>
    <row r="2339" ht="15" customHeight="1" s="163">
      <c r="A2339" s="319">
        <f>'CENTRO DE EDUCAÇÃO INFANTIL IRM'!I9</f>
        <v/>
      </c>
      <c r="B2339" s="320">
        <f>'CENTRO DE EDUCAÇÃO INFANTIL IRM'!D9</f>
        <v/>
      </c>
    </row>
    <row r="2340" ht="15" customHeight="1" s="163">
      <c r="A2340" s="319">
        <f>'CENTRO DE EDUCAÇÃO INFANTIL IRM'!I10</f>
        <v/>
      </c>
      <c r="B2340" s="320">
        <f>'CENTRO DE EDUCAÇÃO INFANTIL IRM'!D10</f>
        <v/>
      </c>
    </row>
    <row r="2341" ht="15" customHeight="1" s="163">
      <c r="A2341" s="319">
        <f>'CENTRO DE EDUCAÇÃO INFANTIL IRM'!I11</f>
        <v/>
      </c>
      <c r="B2341" s="320">
        <f>'CENTRO DE EDUCAÇÃO INFANTIL IRM'!D11</f>
        <v/>
      </c>
    </row>
    <row r="2342" ht="15" customHeight="1" s="163">
      <c r="A2342" s="319">
        <f>'CENTRO DE EDUCAÇÃO INFANTIL IRM'!I12</f>
        <v/>
      </c>
      <c r="B2342" s="320">
        <f>'CENTRO DE EDUCAÇÃO INFANTIL IRM'!D12</f>
        <v/>
      </c>
    </row>
    <row r="2343" ht="15" customHeight="1" s="163">
      <c r="A2343" s="319">
        <f>'CENTRO DE EDUCAÇÃO INFANTIL IRM'!I13</f>
        <v/>
      </c>
      <c r="B2343" s="320">
        <f>'CENTRO DE EDUCAÇÃO INFANTIL IRM'!D13</f>
        <v/>
      </c>
    </row>
    <row r="2344" ht="15" customHeight="1" s="163">
      <c r="A2344" s="319">
        <f>'CENTRO DE EDUCAÇÃO INFANTIL IRM'!I14</f>
        <v/>
      </c>
      <c r="B2344" s="320">
        <f>'CENTRO DE EDUCAÇÃO INFANTIL IRM'!D14</f>
        <v/>
      </c>
    </row>
    <row r="2345" ht="15" customHeight="1" s="163">
      <c r="A2345" s="319">
        <f>'CENTRO DE EDUCAÇÃO INFANTIL IRM'!I15</f>
        <v/>
      </c>
      <c r="B2345" s="320">
        <f>'CENTRO DE EDUCAÇÃO INFANTIL IRM'!D15</f>
        <v/>
      </c>
    </row>
    <row r="2346" ht="15" customHeight="1" s="163">
      <c r="A2346" s="319">
        <f>'CENTRO DE EDUCAÇÃO INFANTIL IRM'!I16</f>
        <v/>
      </c>
      <c r="B2346" s="320">
        <f>'CENTRO DE EDUCAÇÃO INFANTIL IRM'!D16</f>
        <v/>
      </c>
    </row>
    <row r="2347" ht="15" customHeight="1" s="163">
      <c r="A2347" s="319">
        <f>'CENTRO DE EDUCAÇÃO INFANTIL IRM'!I17</f>
        <v/>
      </c>
      <c r="B2347" s="320">
        <f>'CENTRO DE EDUCAÇÃO INFANTIL IRM'!D17</f>
        <v/>
      </c>
    </row>
    <row r="2348" ht="15" customHeight="1" s="163">
      <c r="A2348" s="319">
        <f>'CENTRO DE EDUCAÇÃO INFANTIL IRM'!I18</f>
        <v/>
      </c>
      <c r="B2348" s="320">
        <f>'CENTRO DE EDUCAÇÃO INFANTIL IRM'!D18</f>
        <v/>
      </c>
    </row>
    <row r="2349" ht="15" customHeight="1" s="163">
      <c r="A2349" s="319">
        <f>'CENTRO DE EDUCAÇÃO INFANTIL IRM'!I19</f>
        <v/>
      </c>
      <c r="B2349" s="320">
        <f>'CENTRO DE EDUCAÇÃO INFANTIL IRM'!D19</f>
        <v/>
      </c>
    </row>
    <row r="2350" ht="15" customHeight="1" s="163">
      <c r="A2350" s="319">
        <f>'CENTRO DE EDUCAÇÃO INFANTIL IRM'!I20</f>
        <v/>
      </c>
      <c r="B2350" s="320">
        <f>'CENTRO DE EDUCAÇÃO INFANTIL IRM'!D20</f>
        <v/>
      </c>
    </row>
    <row r="2351" ht="15" customHeight="1" s="163">
      <c r="A2351" s="319">
        <f>'CENTRO DE EDUCAÇÃO INFANTIL IRM'!I21</f>
        <v/>
      </c>
      <c r="B2351" s="320">
        <f>'CENTRO DE EDUCAÇÃO INFANTIL IRM'!D21</f>
        <v/>
      </c>
    </row>
    <row r="2352" ht="15" customHeight="1" s="163">
      <c r="A2352" s="319">
        <f>'CENTRO DE EDUCAÇÃO INFANTIL IRM'!I22</f>
        <v/>
      </c>
      <c r="B2352" s="320">
        <f>'CENTRO DE EDUCAÇÃO INFANTIL IRM'!D22</f>
        <v/>
      </c>
    </row>
    <row r="2353" ht="15" customHeight="1" s="163">
      <c r="A2353" s="319">
        <f>'CENTRO DE EDUCAÇÃO INFANTIL IRM'!I23</f>
        <v/>
      </c>
      <c r="B2353" s="320">
        <f>'CENTRO DE EDUCAÇÃO INFANTIL IRM'!D23</f>
        <v/>
      </c>
    </row>
    <row r="2354" ht="15" customHeight="1" s="163">
      <c r="A2354" s="319">
        <f>'CENTRO DE EDUCAÇÃO INFANTIL IRM'!I24</f>
        <v/>
      </c>
      <c r="B2354" s="320">
        <f>'CENTRO DE EDUCAÇÃO INFANTIL IRM'!D24</f>
        <v/>
      </c>
    </row>
    <row r="2355" ht="15" customHeight="1" s="163">
      <c r="A2355" s="319">
        <f>'CENTRO DE EDUCAÇÃO INFANTIL IRM'!I25</f>
        <v/>
      </c>
      <c r="B2355" s="320">
        <f>'CENTRO DE EDUCAÇÃO INFANTIL IRM'!D25</f>
        <v/>
      </c>
    </row>
    <row r="2356" ht="15" customHeight="1" s="163">
      <c r="A2356" s="319">
        <f>'CENTRO DE EDUCAÇÃO INFANTIL IRM'!I26</f>
        <v/>
      </c>
      <c r="B2356" s="320">
        <f>'CENTRO DE EDUCAÇÃO INFANTIL IRM'!D26</f>
        <v/>
      </c>
    </row>
    <row r="2357" ht="15" customHeight="1" s="163">
      <c r="A2357" s="319">
        <f>'CENTRO DE EDUCAÇÃO INFANTIL IRM'!I27</f>
        <v/>
      </c>
      <c r="B2357" s="320">
        <f>'CENTRO DE EDUCAÇÃO INFANTIL IRM'!D27</f>
        <v/>
      </c>
    </row>
    <row r="2358" ht="15" customHeight="1" s="163">
      <c r="A2358" s="319">
        <f>'CEI PEDRAS BRANCAS'!I9</f>
        <v/>
      </c>
      <c r="B2358" s="320">
        <f>'CEI PEDRAS BRANCAS'!D9</f>
        <v/>
      </c>
    </row>
    <row r="2359" ht="15" customHeight="1" s="163">
      <c r="A2359" s="319">
        <f>'CEI PEDRAS BRANCAS'!I10</f>
        <v/>
      </c>
      <c r="B2359" s="320">
        <f>'CEI PEDRAS BRANCAS'!D10</f>
        <v/>
      </c>
    </row>
    <row r="2360" ht="15" customHeight="1" s="163">
      <c r="A2360" s="319">
        <f>'CEI PEDRAS BRANCAS'!I11</f>
        <v/>
      </c>
      <c r="B2360" s="320">
        <f>'CEI PEDRAS BRANCAS'!D11</f>
        <v/>
      </c>
    </row>
    <row r="2361" ht="15" customHeight="1" s="163">
      <c r="A2361" s="319">
        <f>'CEI PEDRAS BRANCAS'!I12</f>
        <v/>
      </c>
      <c r="B2361" s="320">
        <f>'CEI PEDRAS BRANCAS'!D12</f>
        <v/>
      </c>
    </row>
    <row r="2362" ht="15" customHeight="1" s="163">
      <c r="A2362" s="319">
        <f>'CEI PEDRAS BRANCAS'!I13</f>
        <v/>
      </c>
      <c r="B2362" s="320">
        <f>'CEI PEDRAS BRANCAS'!D13</f>
        <v/>
      </c>
    </row>
    <row r="2363" ht="15" customHeight="1" s="163">
      <c r="A2363" s="319">
        <f>'CEI PEDRAS BRANCAS'!I14</f>
        <v/>
      </c>
      <c r="B2363" s="320">
        <f>'CEI PEDRAS BRANCAS'!D14</f>
        <v/>
      </c>
    </row>
    <row r="2364" ht="15" customHeight="1" s="163">
      <c r="A2364" s="319">
        <f>'CEI PEDRAS BRANCAS'!I15</f>
        <v/>
      </c>
      <c r="B2364" s="320">
        <f>'CEI PEDRAS BRANCAS'!D15</f>
        <v/>
      </c>
    </row>
    <row r="2365" ht="15" customHeight="1" s="163">
      <c r="A2365" s="319">
        <f>'CEI PEDRAS BRANCAS'!I16</f>
        <v/>
      </c>
      <c r="B2365" s="320">
        <f>'CEI PEDRAS BRANCAS'!D16</f>
        <v/>
      </c>
    </row>
    <row r="2366" ht="15" customHeight="1" s="163">
      <c r="A2366" s="319">
        <f>'CEI PEDRAS BRANCAS'!I17</f>
        <v/>
      </c>
      <c r="B2366" s="320">
        <f>'CEI PEDRAS BRANCAS'!D17</f>
        <v/>
      </c>
    </row>
    <row r="2367" ht="15" customHeight="1" s="163">
      <c r="A2367" s="319">
        <f>'CEI PEDRAS BRANCAS'!I18</f>
        <v/>
      </c>
      <c r="B2367" s="320">
        <f>'CEI PEDRAS BRANCAS'!D18</f>
        <v/>
      </c>
    </row>
    <row r="2368" ht="15" customHeight="1" s="163">
      <c r="A2368" s="319">
        <f>'CEI PEDRAS BRANCAS'!I19</f>
        <v/>
      </c>
      <c r="B2368" s="320">
        <f>'CEI PEDRAS BRANCAS'!D19</f>
        <v/>
      </c>
    </row>
    <row r="2369" ht="15" customHeight="1" s="163">
      <c r="A2369" s="319">
        <f>'CEI PEDRAS BRANCAS'!I20</f>
        <v/>
      </c>
      <c r="B2369" s="320">
        <f>'CEI PEDRAS BRANCAS'!D20</f>
        <v/>
      </c>
    </row>
    <row r="2370" ht="15" customHeight="1" s="163">
      <c r="A2370" s="319">
        <f>'CEI PEDRAS BRANCAS'!I21</f>
        <v/>
      </c>
      <c r="B2370" s="320">
        <f>'CEI PEDRAS BRANCAS'!D21</f>
        <v/>
      </c>
    </row>
    <row r="2371" ht="15" customHeight="1" s="163">
      <c r="A2371" s="319">
        <f>'CEI PEDRAS BRANCAS'!I22</f>
        <v/>
      </c>
      <c r="B2371" s="320">
        <f>'CEI PEDRAS BRANCAS'!D22</f>
        <v/>
      </c>
    </row>
    <row r="2372" ht="15" customHeight="1" s="163">
      <c r="A2372" s="319">
        <f>'CEI PEDRAS BRANCAS'!I23</f>
        <v/>
      </c>
      <c r="B2372" s="320">
        <f>'CEI PEDRAS BRANCAS'!D23</f>
        <v/>
      </c>
    </row>
    <row r="2373" ht="15" customHeight="1" s="163">
      <c r="A2373" s="319">
        <f>'CEI PEDRAS BRANCAS'!I24</f>
        <v/>
      </c>
      <c r="B2373" s="320">
        <f>'CEI PEDRAS BRANCAS'!D24</f>
        <v/>
      </c>
    </row>
    <row r="2374" ht="15" customHeight="1" s="163">
      <c r="A2374" s="319">
        <f>'CEI PEDRAS BRANCAS'!I25</f>
        <v/>
      </c>
      <c r="B2374" s="320">
        <f>'CEI PEDRAS BRANCAS'!D25</f>
        <v/>
      </c>
    </row>
    <row r="2375" ht="15" customHeight="1" s="163">
      <c r="A2375" s="319">
        <f>'CEI PEDRAS BRANCAS'!I26</f>
        <v/>
      </c>
      <c r="B2375" s="320">
        <f>'CEI PEDRAS BRANCAS'!D26</f>
        <v/>
      </c>
    </row>
    <row r="2376" ht="15" customHeight="1" s="163">
      <c r="A2376" s="319">
        <f>'CEI PEDRAS BRANCAS'!I27</f>
        <v/>
      </c>
      <c r="B2376" s="320">
        <f>'CEI PEDRAS BRANCAS'!D27</f>
        <v/>
      </c>
    </row>
    <row r="2377" ht="15" customHeight="1" s="163">
      <c r="A2377" s="319">
        <f>'CEI INÊS BELARMINO DE SOUZA'!I9</f>
        <v/>
      </c>
      <c r="B2377" s="320">
        <f>'CEI INÊS BELARMINO DE SOUZA'!D9</f>
        <v/>
      </c>
    </row>
    <row r="2378" ht="15" customHeight="1" s="163">
      <c r="A2378" s="319">
        <f>'CEI INÊS BELARMINO DE SOUZA'!I10</f>
        <v/>
      </c>
      <c r="B2378" s="320">
        <f>'CEI INÊS BELARMINO DE SOUZA'!D10</f>
        <v/>
      </c>
    </row>
    <row r="2379" ht="15" customHeight="1" s="163">
      <c r="A2379" s="319">
        <f>'CEI INÊS BELARMINO DE SOUZA'!I11</f>
        <v/>
      </c>
      <c r="B2379" s="320">
        <f>'CEI INÊS BELARMINO DE SOUZA'!D11</f>
        <v/>
      </c>
    </row>
    <row r="2380" ht="15" customHeight="1" s="163">
      <c r="A2380" s="319">
        <f>'CEI INÊS BELARMINO DE SOUZA'!I12</f>
        <v/>
      </c>
      <c r="B2380" s="320">
        <f>'CEI INÊS BELARMINO DE SOUZA'!D12</f>
        <v/>
      </c>
    </row>
    <row r="2381" ht="15" customHeight="1" s="163">
      <c r="A2381" s="319">
        <f>'CEI INÊS BELARMINO DE SOUZA'!I13</f>
        <v/>
      </c>
      <c r="B2381" s="320">
        <f>'CEI INÊS BELARMINO DE SOUZA'!D13</f>
        <v/>
      </c>
    </row>
    <row r="2382" ht="15" customHeight="1" s="163">
      <c r="A2382" s="319">
        <f>'CEI INÊS BELARMINO DE SOUZA'!I14</f>
        <v/>
      </c>
      <c r="B2382" s="320">
        <f>'CEI INÊS BELARMINO DE SOUZA'!D14</f>
        <v/>
      </c>
    </row>
    <row r="2383" ht="15" customHeight="1" s="163">
      <c r="A2383" s="319">
        <f>'CEI INÊS BELARMINO DE SOUZA'!I15</f>
        <v/>
      </c>
      <c r="B2383" s="320">
        <f>'CEI INÊS BELARMINO DE SOUZA'!D15</f>
        <v/>
      </c>
    </row>
    <row r="2384" ht="15" customHeight="1" s="163">
      <c r="A2384" s="319">
        <f>'CEI INÊS BELARMINO DE SOUZA'!I16</f>
        <v/>
      </c>
      <c r="B2384" s="320">
        <f>'CEI INÊS BELARMINO DE SOUZA'!D16</f>
        <v/>
      </c>
    </row>
    <row r="2385" ht="15" customHeight="1" s="163">
      <c r="A2385" s="319">
        <f>'CEI INÊS BELARMINO DE SOUZA'!I17</f>
        <v/>
      </c>
      <c r="B2385" s="320">
        <f>'CEI INÊS BELARMINO DE SOUZA'!D17</f>
        <v/>
      </c>
    </row>
    <row r="2386" ht="15" customHeight="1" s="163">
      <c r="A2386" s="319">
        <f>'CEI INÊS BELARMINO DE SOUZA'!I18</f>
        <v/>
      </c>
      <c r="B2386" s="320">
        <f>'CEI INÊS BELARMINO DE SOUZA'!D18</f>
        <v/>
      </c>
    </row>
    <row r="2387" ht="15" customHeight="1" s="163">
      <c r="A2387" s="319">
        <f>'CEI INÊS BELARMINO DE SOUZA'!I19</f>
        <v/>
      </c>
      <c r="B2387" s="320">
        <f>'CEI INÊS BELARMINO DE SOUZA'!D19</f>
        <v/>
      </c>
    </row>
    <row r="2388" ht="15" customHeight="1" s="163">
      <c r="A2388" s="319">
        <f>'CEI INÊS BELARMINO DE SOUZA'!I20</f>
        <v/>
      </c>
      <c r="B2388" s="320">
        <f>'CEI INÊS BELARMINO DE SOUZA'!D20</f>
        <v/>
      </c>
    </row>
    <row r="2389" ht="15" customHeight="1" s="163">
      <c r="A2389" s="319">
        <f>'CEI INÊS BELARMINO DE SOUZA'!I21</f>
        <v/>
      </c>
      <c r="B2389" s="320">
        <f>'CEI INÊS BELARMINO DE SOUZA'!D21</f>
        <v/>
      </c>
    </row>
    <row r="2390" ht="15" customHeight="1" s="163">
      <c r="A2390" s="319">
        <f>'CEI INÊS BELARMINO DE SOUZA'!I22</f>
        <v/>
      </c>
      <c r="B2390" s="320">
        <f>'CEI INÊS BELARMINO DE SOUZA'!D22</f>
        <v/>
      </c>
    </row>
    <row r="2391" ht="15" customHeight="1" s="163">
      <c r="A2391" s="319">
        <f>'CEI INÊS BELARMINO DE SOUZA'!I23</f>
        <v/>
      </c>
      <c r="B2391" s="320">
        <f>'CEI INÊS BELARMINO DE SOUZA'!D23</f>
        <v/>
      </c>
    </row>
    <row r="2392" ht="15" customHeight="1" s="163">
      <c r="A2392" s="319">
        <f>'CEI INÊS BELARMINO DE SOUZA'!I24</f>
        <v/>
      </c>
      <c r="B2392" s="320">
        <f>'CEI INÊS BELARMINO DE SOUZA'!D24</f>
        <v/>
      </c>
    </row>
    <row r="2393" ht="15" customHeight="1" s="163">
      <c r="A2393" s="319">
        <f>'CEI INÊS BELARMINO DE SOUZA'!I25</f>
        <v/>
      </c>
      <c r="B2393" s="320">
        <f>'CEI INÊS BELARMINO DE SOUZA'!D25</f>
        <v/>
      </c>
    </row>
    <row r="2394" ht="15" customHeight="1" s="163">
      <c r="A2394" s="319">
        <f>'CEI INÊS BELARMINO DE SOUZA'!I26</f>
        <v/>
      </c>
      <c r="B2394" s="320">
        <f>'CEI INÊS BELARMINO DE SOUZA'!D26</f>
        <v/>
      </c>
    </row>
    <row r="2395" ht="15" customHeight="1" s="163">
      <c r="A2395" s="319">
        <f>'CEI INÊS BELARMINO DE SOUZA'!I27</f>
        <v/>
      </c>
      <c r="B2395" s="320">
        <f>'CEI INÊS BELARMINO DE SOUZA'!D27</f>
        <v/>
      </c>
    </row>
    <row r="2396" ht="15" customHeight="1" s="163">
      <c r="A2396" s="319">
        <f>'CEI PROFª ROSANGELA DA SILVA LE'!I9</f>
        <v/>
      </c>
      <c r="B2396" s="320">
        <f>'CEI PROFª ROSANGELA DA SILVA LE'!D9</f>
        <v/>
      </c>
    </row>
    <row r="2397" ht="15" customHeight="1" s="163">
      <c r="A2397" s="319">
        <f>'CEI PROFª ROSANGELA DA SILVA LE'!I10</f>
        <v/>
      </c>
      <c r="B2397" s="320">
        <f>'CEI PROFª ROSANGELA DA SILVA LE'!D10</f>
        <v/>
      </c>
    </row>
    <row r="2398" ht="15" customHeight="1" s="163">
      <c r="A2398" s="319">
        <f>'CEI PROFª ROSANGELA DA SILVA LE'!I11</f>
        <v/>
      </c>
      <c r="B2398" s="320">
        <f>'CEI PROFª ROSANGELA DA SILVA LE'!D11</f>
        <v/>
      </c>
    </row>
    <row r="2399" ht="15" customHeight="1" s="163">
      <c r="A2399" s="319">
        <f>'CEI PROFª ROSANGELA DA SILVA LE'!I12</f>
        <v/>
      </c>
      <c r="B2399" s="320">
        <f>'CEI PROFª ROSANGELA DA SILVA LE'!D12</f>
        <v/>
      </c>
    </row>
    <row r="2400" ht="15" customHeight="1" s="163">
      <c r="A2400" s="319">
        <f>'CEI PROFª ROSANGELA DA SILVA LE'!I13</f>
        <v/>
      </c>
      <c r="B2400" s="320">
        <f>'CEI PROFª ROSANGELA DA SILVA LE'!D13</f>
        <v/>
      </c>
    </row>
    <row r="2401" ht="15" customHeight="1" s="163">
      <c r="A2401" s="319">
        <f>'CEI PROFª ROSANGELA DA SILVA LE'!I14</f>
        <v/>
      </c>
      <c r="B2401" s="320">
        <f>'CEI PROFª ROSANGELA DA SILVA LE'!D14</f>
        <v/>
      </c>
    </row>
    <row r="2402" ht="15" customHeight="1" s="163">
      <c r="A2402" s="319">
        <f>'CEI PROFª ROSANGELA DA SILVA LE'!I15</f>
        <v/>
      </c>
      <c r="B2402" s="320">
        <f>'CEI PROFª ROSANGELA DA SILVA LE'!D15</f>
        <v/>
      </c>
    </row>
    <row r="2403" ht="15" customHeight="1" s="163">
      <c r="A2403" s="319">
        <f>'CEI PROFª ROSANGELA DA SILVA LE'!I16</f>
        <v/>
      </c>
      <c r="B2403" s="320">
        <f>'CEI PROFª ROSANGELA DA SILVA LE'!D16</f>
        <v/>
      </c>
    </row>
    <row r="2404" ht="15" customHeight="1" s="163">
      <c r="A2404" s="319">
        <f>'CEI PROFª ROSANGELA DA SILVA LE'!I17</f>
        <v/>
      </c>
      <c r="B2404" s="320">
        <f>'CEI PROFª ROSANGELA DA SILVA LE'!D17</f>
        <v/>
      </c>
    </row>
    <row r="2405" ht="15" customHeight="1" s="163">
      <c r="A2405" s="319">
        <f>'CEI PROFª ROSANGELA DA SILVA LE'!I18</f>
        <v/>
      </c>
      <c r="B2405" s="320">
        <f>'CEI PROFª ROSANGELA DA SILVA LE'!D18</f>
        <v/>
      </c>
    </row>
    <row r="2406" ht="15" customHeight="1" s="163">
      <c r="A2406" s="319">
        <f>'CEI PROFª ROSANGELA DA SILVA LE'!I19</f>
        <v/>
      </c>
      <c r="B2406" s="320">
        <f>'CEI PROFª ROSANGELA DA SILVA LE'!D19</f>
        <v/>
      </c>
    </row>
    <row r="2407" ht="15" customHeight="1" s="163">
      <c r="A2407" s="319">
        <f>'CEI PROFª ROSANGELA DA SILVA LE'!I20</f>
        <v/>
      </c>
      <c r="B2407" s="320">
        <f>'CEI PROFª ROSANGELA DA SILVA LE'!D20</f>
        <v/>
      </c>
    </row>
    <row r="2408" ht="15" customHeight="1" s="163">
      <c r="A2408" s="319">
        <f>'CEI PROFª ROSANGELA DA SILVA LE'!I21</f>
        <v/>
      </c>
      <c r="B2408" s="320">
        <f>'CEI PROFª ROSANGELA DA SILVA LE'!D21</f>
        <v/>
      </c>
    </row>
    <row r="2409" ht="15" customHeight="1" s="163">
      <c r="A2409" s="319">
        <f>'CEI PROFª ROSANGELA DA SILVA LE'!I22</f>
        <v/>
      </c>
      <c r="B2409" s="320">
        <f>'CEI PROFª ROSANGELA DA SILVA LE'!D22</f>
        <v/>
      </c>
    </row>
    <row r="2410" ht="15" customHeight="1" s="163">
      <c r="A2410" s="319">
        <f>'CEI PROFª ROSANGELA DA SILVA LE'!I23</f>
        <v/>
      </c>
      <c r="B2410" s="320">
        <f>'CEI PROFª ROSANGELA DA SILVA LE'!D23</f>
        <v/>
      </c>
    </row>
    <row r="2411" ht="15" customHeight="1" s="163">
      <c r="A2411" s="319">
        <f>'CEI PROFª ROSANGELA DA SILVA LE'!I24</f>
        <v/>
      </c>
      <c r="B2411" s="320">
        <f>'CEI PROFª ROSANGELA DA SILVA LE'!D24</f>
        <v/>
      </c>
    </row>
    <row r="2412" ht="15" customHeight="1" s="163">
      <c r="A2412" s="319">
        <f>'CEI PROFª ROSANGELA DA SILVA LE'!I25</f>
        <v/>
      </c>
      <c r="B2412" s="320">
        <f>'CEI PROFª ROSANGELA DA SILVA LE'!D25</f>
        <v/>
      </c>
    </row>
    <row r="2413" ht="15" customHeight="1" s="163">
      <c r="A2413" s="319">
        <f>'CEI PROFª ROSANGELA DA SILVA LE'!I26</f>
        <v/>
      </c>
      <c r="B2413" s="320">
        <f>'CEI PROFª ROSANGELA DA SILVA LE'!D26</f>
        <v/>
      </c>
    </row>
    <row r="2414" ht="15" customHeight="1" s="163">
      <c r="A2414" s="319">
        <f>'CEI PROFª ROSANGELA DA SILVA LE'!I27</f>
        <v/>
      </c>
      <c r="B2414" s="320">
        <f>'CEI PROFª ROSANGELA DA SILVA LE'!D27</f>
        <v/>
      </c>
    </row>
    <row r="2415" ht="15" customHeight="1" s="163">
      <c r="A2415" s="319">
        <f>'CEI VILA SAO JOSE'!I9</f>
        <v/>
      </c>
      <c r="B2415" s="320">
        <f>'CEI VILA SAO JOSE'!D9</f>
        <v/>
      </c>
    </row>
    <row r="2416" ht="15" customHeight="1" s="163">
      <c r="A2416" s="319">
        <f>'CEI VILA SAO JOSE'!I10</f>
        <v/>
      </c>
      <c r="B2416" s="320">
        <f>'CEI VILA SAO JOSE'!D10</f>
        <v/>
      </c>
    </row>
    <row r="2417" ht="15" customHeight="1" s="163">
      <c r="A2417" s="319">
        <f>'CEI VILA SAO JOSE'!I11</f>
        <v/>
      </c>
      <c r="B2417" s="320">
        <f>'CEI VILA SAO JOSE'!D11</f>
        <v/>
      </c>
    </row>
    <row r="2418" ht="15" customHeight="1" s="163">
      <c r="A2418" s="319">
        <f>'CEI VILA SAO JOSE'!I12</f>
        <v/>
      </c>
      <c r="B2418" s="320">
        <f>'CEI VILA SAO JOSE'!D12</f>
        <v/>
      </c>
    </row>
    <row r="2419" ht="15" customHeight="1" s="163">
      <c r="A2419" s="319">
        <f>'CEI VILA SAO JOSE'!I13</f>
        <v/>
      </c>
      <c r="B2419" s="320">
        <f>'CEI VILA SAO JOSE'!D13</f>
        <v/>
      </c>
    </row>
    <row r="2420" ht="15" customHeight="1" s="163">
      <c r="A2420" s="319">
        <f>'CEI VILA SAO JOSE'!I14</f>
        <v/>
      </c>
      <c r="B2420" s="320">
        <f>'CEI VILA SAO JOSE'!D14</f>
        <v/>
      </c>
    </row>
    <row r="2421" ht="15" customHeight="1" s="163">
      <c r="A2421" s="319">
        <f>'CEI VILA SAO JOSE'!I15</f>
        <v/>
      </c>
      <c r="B2421" s="320">
        <f>'CEI VILA SAO JOSE'!D15</f>
        <v/>
      </c>
    </row>
    <row r="2422" ht="15" customHeight="1" s="163">
      <c r="A2422" s="319">
        <f>'CEI VILA SAO JOSE'!I16</f>
        <v/>
      </c>
      <c r="B2422" s="320">
        <f>'CEI VILA SAO JOSE'!D16</f>
        <v/>
      </c>
    </row>
    <row r="2423" ht="15" customHeight="1" s="163">
      <c r="A2423" s="319">
        <f>'CEI VILA SAO JOSE'!I17</f>
        <v/>
      </c>
      <c r="B2423" s="320">
        <f>'CEI VILA SAO JOSE'!D17</f>
        <v/>
      </c>
    </row>
    <row r="2424" ht="15" customHeight="1" s="163">
      <c r="A2424" s="319">
        <f>'CEI VILA SAO JOSE'!I18</f>
        <v/>
      </c>
      <c r="B2424" s="320">
        <f>'CEI VILA SAO JOSE'!D18</f>
        <v/>
      </c>
    </row>
    <row r="2425" ht="15" customHeight="1" s="163">
      <c r="A2425" s="319">
        <f>'CEI VILA SAO JOSE'!I19</f>
        <v/>
      </c>
      <c r="B2425" s="320">
        <f>'CEI VILA SAO JOSE'!D19</f>
        <v/>
      </c>
    </row>
    <row r="2426" ht="15" customHeight="1" s="163">
      <c r="A2426" s="319">
        <f>'CEI VILA SAO JOSE'!I20</f>
        <v/>
      </c>
      <c r="B2426" s="320">
        <f>'CEI VILA SAO JOSE'!D20</f>
        <v/>
      </c>
    </row>
    <row r="2427" ht="15" customHeight="1" s="163">
      <c r="A2427" s="319">
        <f>'CEI VILA SAO JOSE'!I21</f>
        <v/>
      </c>
      <c r="B2427" s="320">
        <f>'CEI VILA SAO JOSE'!D21</f>
        <v/>
      </c>
    </row>
    <row r="2428" ht="15" customHeight="1" s="163">
      <c r="A2428" s="319">
        <f>'CEI VILA SAO JOSE'!I22</f>
        <v/>
      </c>
      <c r="B2428" s="320">
        <f>'CEI VILA SAO JOSE'!D22</f>
        <v/>
      </c>
    </row>
    <row r="2429" ht="15" customHeight="1" s="163">
      <c r="A2429" s="319">
        <f>'CEI VILA SAO JOSE'!I23</f>
        <v/>
      </c>
      <c r="B2429" s="320">
        <f>'CEI VILA SAO JOSE'!D23</f>
        <v/>
      </c>
    </row>
    <row r="2430" ht="15" customHeight="1" s="163">
      <c r="A2430" s="319">
        <f>'CEI VILA SAO JOSE'!I24</f>
        <v/>
      </c>
      <c r="B2430" s="320">
        <f>'CEI VILA SAO JOSE'!D24</f>
        <v/>
      </c>
    </row>
    <row r="2431" ht="15" customHeight="1" s="163">
      <c r="A2431" s="319">
        <f>'CEI VILA SAO JOSE'!I25</f>
        <v/>
      </c>
      <c r="B2431" s="320">
        <f>'CEI VILA SAO JOSE'!D25</f>
        <v/>
      </c>
    </row>
    <row r="2432" ht="15" customHeight="1" s="163">
      <c r="A2432" s="319">
        <f>'CEI VILA SAO JOSE'!I26</f>
        <v/>
      </c>
      <c r="B2432" s="320">
        <f>'CEI VILA SAO JOSE'!D26</f>
        <v/>
      </c>
    </row>
    <row r="2433" ht="15" customHeight="1" s="163">
      <c r="A2433" s="319">
        <f>'CEI VILA SAO JOSE'!I27</f>
        <v/>
      </c>
      <c r="B2433" s="320">
        <f>'CEI VILA SAO JOSE'!D27</f>
        <v/>
      </c>
    </row>
    <row r="2434" ht="15" customHeight="1" s="163">
      <c r="A2434" s="319">
        <f>'CEI MARIA THEREZA KLING DO VALL'!I9</f>
        <v/>
      </c>
      <c r="B2434" s="320">
        <f>'CEI MARIA THEREZA KLING DO VALL'!D9</f>
        <v/>
      </c>
    </row>
    <row r="2435" ht="15" customHeight="1" s="163">
      <c r="A2435" s="319">
        <f>'CEI MARIA THEREZA KLING DO VALL'!I10</f>
        <v/>
      </c>
      <c r="B2435" s="320">
        <f>'CEI MARIA THEREZA KLING DO VALL'!D10</f>
        <v/>
      </c>
    </row>
    <row r="2436" ht="15" customHeight="1" s="163">
      <c r="A2436" s="319">
        <f>'CEI MARIA THEREZA KLING DO VALL'!I11</f>
        <v/>
      </c>
      <c r="B2436" s="320">
        <f>'CEI MARIA THEREZA KLING DO VALL'!D11</f>
        <v/>
      </c>
    </row>
    <row r="2437" ht="15" customHeight="1" s="163">
      <c r="A2437" s="319">
        <f>'CEI MARIA THEREZA KLING DO VALL'!I12</f>
        <v/>
      </c>
      <c r="B2437" s="320">
        <f>'CEI MARIA THEREZA KLING DO VALL'!D12</f>
        <v/>
      </c>
    </row>
    <row r="2438" ht="15" customHeight="1" s="163">
      <c r="A2438" s="319">
        <f>'CEI MARIA THEREZA KLING DO VALL'!I13</f>
        <v/>
      </c>
      <c r="B2438" s="320">
        <f>'CEI MARIA THEREZA KLING DO VALL'!D13</f>
        <v/>
      </c>
    </row>
    <row r="2439" ht="15" customHeight="1" s="163">
      <c r="A2439" s="319">
        <f>'CEI MARIA THEREZA KLING DO VALL'!I14</f>
        <v/>
      </c>
      <c r="B2439" s="320">
        <f>'CEI MARIA THEREZA KLING DO VALL'!D14</f>
        <v/>
      </c>
    </row>
    <row r="2440" ht="15" customHeight="1" s="163">
      <c r="A2440" s="319">
        <f>'CEI MARIA THEREZA KLING DO VALL'!I15</f>
        <v/>
      </c>
      <c r="B2440" s="320">
        <f>'CEI MARIA THEREZA KLING DO VALL'!D15</f>
        <v/>
      </c>
    </row>
    <row r="2441" ht="15" customHeight="1" s="163">
      <c r="A2441" s="319">
        <f>'CEI MARIA THEREZA KLING DO VALL'!I16</f>
        <v/>
      </c>
      <c r="B2441" s="320">
        <f>'CEI MARIA THEREZA KLING DO VALL'!D16</f>
        <v/>
      </c>
    </row>
    <row r="2442" ht="15" customHeight="1" s="163">
      <c r="A2442" s="319">
        <f>'CEI MARIA THEREZA KLING DO VALL'!I17</f>
        <v/>
      </c>
      <c r="B2442" s="320">
        <f>'CEI MARIA THEREZA KLING DO VALL'!D17</f>
        <v/>
      </c>
    </row>
    <row r="2443" ht="15" customHeight="1" s="163">
      <c r="A2443" s="319">
        <f>'CEI MARIA THEREZA KLING DO VALL'!I18</f>
        <v/>
      </c>
      <c r="B2443" s="320">
        <f>'CEI MARIA THEREZA KLING DO VALL'!D18</f>
        <v/>
      </c>
    </row>
    <row r="2444" ht="15" customHeight="1" s="163">
      <c r="A2444" s="319">
        <f>'CEI MARIA THEREZA KLING DO VALL'!I19</f>
        <v/>
      </c>
      <c r="B2444" s="320">
        <f>'CEI MARIA THEREZA KLING DO VALL'!D19</f>
        <v/>
      </c>
    </row>
    <row r="2445" ht="15" customHeight="1" s="163">
      <c r="A2445" s="319">
        <f>'CEI MARIA THEREZA KLING DO VALL'!I20</f>
        <v/>
      </c>
      <c r="B2445" s="320">
        <f>'CEI MARIA THEREZA KLING DO VALL'!D20</f>
        <v/>
      </c>
    </row>
    <row r="2446" ht="15" customHeight="1" s="163">
      <c r="A2446" s="319">
        <f>'CEI MARIA THEREZA KLING DO VALL'!I21</f>
        <v/>
      </c>
      <c r="B2446" s="320">
        <f>'CEI MARIA THEREZA KLING DO VALL'!D21</f>
        <v/>
      </c>
    </row>
    <row r="2447" ht="15" customHeight="1" s="163">
      <c r="A2447" s="319">
        <f>'CEI MARIA THEREZA KLING DO VALL'!I22</f>
        <v/>
      </c>
      <c r="B2447" s="320">
        <f>'CEI MARIA THEREZA KLING DO VALL'!D22</f>
        <v/>
      </c>
    </row>
    <row r="2448" ht="15" customHeight="1" s="163">
      <c r="A2448" s="319">
        <f>'CEI MARIA THEREZA KLING DO VALL'!I23</f>
        <v/>
      </c>
      <c r="B2448" s="320">
        <f>'CEI MARIA THEREZA KLING DO VALL'!D23</f>
        <v/>
      </c>
    </row>
    <row r="2449" ht="15" customHeight="1" s="163">
      <c r="A2449" s="319">
        <f>'CEI MARIA THEREZA KLING DO VALL'!I24</f>
        <v/>
      </c>
      <c r="B2449" s="320">
        <f>'CEI MARIA THEREZA KLING DO VALL'!D24</f>
        <v/>
      </c>
    </row>
    <row r="2450" ht="15" customHeight="1" s="163">
      <c r="A2450" s="319">
        <f>'CEI MARIA THEREZA KLING DO VALL'!I25</f>
        <v/>
      </c>
      <c r="B2450" s="320">
        <f>'CEI MARIA THEREZA KLING DO VALL'!D25</f>
        <v/>
      </c>
    </row>
    <row r="2451" ht="15" customHeight="1" s="163">
      <c r="A2451" s="319">
        <f>'CEI MARIA THEREZA KLING DO VALL'!I26</f>
        <v/>
      </c>
      <c r="B2451" s="320">
        <f>'CEI MARIA THEREZA KLING DO VALL'!D26</f>
        <v/>
      </c>
    </row>
    <row r="2452" ht="15" customHeight="1" s="163">
      <c r="A2452" s="319">
        <f>'CEI MARIA THEREZA KLING DO VALL'!I27</f>
        <v/>
      </c>
      <c r="B2452" s="320">
        <f>'CEI MARIA THEREZA KLING DO VALL'!D27</f>
        <v/>
      </c>
    </row>
    <row r="2453" ht="15" customHeight="1" s="163">
      <c r="A2453" s="319">
        <f>'CEI DEISE ELOY GOMES'!I9</f>
        <v/>
      </c>
      <c r="B2453" s="320">
        <f>'CEI DEISE ELOY GOMES'!D9</f>
        <v/>
      </c>
    </row>
    <row r="2454" ht="15" customHeight="1" s="163">
      <c r="A2454" s="319">
        <f>'CEI DEISE ELOY GOMES'!I10</f>
        <v/>
      </c>
      <c r="B2454" s="320">
        <f>'CEI DEISE ELOY GOMES'!D10</f>
        <v/>
      </c>
    </row>
    <row r="2455" ht="15" customHeight="1" s="163">
      <c r="A2455" s="319">
        <f>'CEI DEISE ELOY GOMES'!I11</f>
        <v/>
      </c>
      <c r="B2455" s="320">
        <f>'CEI DEISE ELOY GOMES'!D11</f>
        <v/>
      </c>
    </row>
    <row r="2456" ht="15" customHeight="1" s="163">
      <c r="A2456" s="319">
        <f>'CEI DEISE ELOY GOMES'!I12</f>
        <v/>
      </c>
      <c r="B2456" s="320">
        <f>'CEI DEISE ELOY GOMES'!D12</f>
        <v/>
      </c>
    </row>
    <row r="2457" ht="15" customHeight="1" s="163">
      <c r="A2457" s="319">
        <f>'CEI DEISE ELOY GOMES'!I13</f>
        <v/>
      </c>
      <c r="B2457" s="320">
        <f>'CEI DEISE ELOY GOMES'!D13</f>
        <v/>
      </c>
    </row>
    <row r="2458" ht="15" customHeight="1" s="163">
      <c r="A2458" s="319">
        <f>'CEI DEISE ELOY GOMES'!I14</f>
        <v/>
      </c>
      <c r="B2458" s="320">
        <f>'CEI DEISE ELOY GOMES'!D14</f>
        <v/>
      </c>
    </row>
    <row r="2459" ht="15" customHeight="1" s="163">
      <c r="A2459" s="319">
        <f>'CEI DEISE ELOY GOMES'!I15</f>
        <v/>
      </c>
      <c r="B2459" s="320">
        <f>'CEI DEISE ELOY GOMES'!D15</f>
        <v/>
      </c>
    </row>
    <row r="2460" ht="15" customHeight="1" s="163">
      <c r="A2460" s="319">
        <f>'CEI DEISE ELOY GOMES'!I16</f>
        <v/>
      </c>
      <c r="B2460" s="320">
        <f>'CEI DEISE ELOY GOMES'!D16</f>
        <v/>
      </c>
    </row>
    <row r="2461" ht="15" customHeight="1" s="163">
      <c r="A2461" s="319">
        <f>'CEI DEISE ELOY GOMES'!I17</f>
        <v/>
      </c>
      <c r="B2461" s="320">
        <f>'CEI DEISE ELOY GOMES'!D17</f>
        <v/>
      </c>
    </row>
    <row r="2462" ht="15" customHeight="1" s="163">
      <c r="A2462" s="319">
        <f>'CEI DEISE ELOY GOMES'!I18</f>
        <v/>
      </c>
      <c r="B2462" s="320">
        <f>'CEI DEISE ELOY GOMES'!D18</f>
        <v/>
      </c>
    </row>
    <row r="2463" ht="15" customHeight="1" s="163">
      <c r="A2463" s="319">
        <f>'CEI DEISE ELOY GOMES'!I19</f>
        <v/>
      </c>
      <c r="B2463" s="320">
        <f>'CEI DEISE ELOY GOMES'!D19</f>
        <v/>
      </c>
    </row>
    <row r="2464" ht="15" customHeight="1" s="163">
      <c r="A2464" s="319">
        <f>'CEI DEISE ELOY GOMES'!I20</f>
        <v/>
      </c>
      <c r="B2464" s="320">
        <f>'CEI DEISE ELOY GOMES'!D20</f>
        <v/>
      </c>
    </row>
    <row r="2465" ht="15" customHeight="1" s="163">
      <c r="A2465" s="319">
        <f>'CEI DEISE ELOY GOMES'!I21</f>
        <v/>
      </c>
      <c r="B2465" s="320">
        <f>'CEI DEISE ELOY GOMES'!D21</f>
        <v/>
      </c>
    </row>
    <row r="2466" ht="15" customHeight="1" s="163">
      <c r="A2466" s="319">
        <f>'CEI DEISE ELOY GOMES'!I22</f>
        <v/>
      </c>
      <c r="B2466" s="320">
        <f>'CEI DEISE ELOY GOMES'!D22</f>
        <v/>
      </c>
    </row>
    <row r="2467" ht="15" customHeight="1" s="163">
      <c r="A2467" s="319">
        <f>'CEI DEISE ELOY GOMES'!I23</f>
        <v/>
      </c>
      <c r="B2467" s="320">
        <f>'CEI DEISE ELOY GOMES'!D23</f>
        <v/>
      </c>
    </row>
    <row r="2468" ht="15" customHeight="1" s="163">
      <c r="A2468" s="319">
        <f>'CEI DEISE ELOY GOMES'!I24</f>
        <v/>
      </c>
      <c r="B2468" s="320">
        <f>'CEI DEISE ELOY GOMES'!D24</f>
        <v/>
      </c>
    </row>
    <row r="2469" ht="15" customHeight="1" s="163">
      <c r="A2469" s="319">
        <f>'CEI DEISE ELOY GOMES'!I25</f>
        <v/>
      </c>
      <c r="B2469" s="320">
        <f>'CEI DEISE ELOY GOMES'!D25</f>
        <v/>
      </c>
    </row>
    <row r="2470" ht="15" customHeight="1" s="163">
      <c r="A2470" s="319">
        <f>'CEI DEISE ELOY GOMES'!I26</f>
        <v/>
      </c>
      <c r="B2470" s="320">
        <f>'CEI DEISE ELOY GOMES'!D26</f>
        <v/>
      </c>
    </row>
    <row r="2471" ht="15" customHeight="1" s="163">
      <c r="A2471" s="319">
        <f>'CEI DEISE ELOY GOMES'!I27</f>
        <v/>
      </c>
      <c r="B2471" s="320">
        <f>'CEI DEISE ELOY GOMES'!D27</f>
        <v/>
      </c>
    </row>
    <row r="2472" ht="15" customHeight="1" s="163">
      <c r="A2472" s="319">
        <f>'CENTRO PAROQUIAL DE EDUCAÇÃO IN'!I9</f>
        <v/>
      </c>
      <c r="B2472" s="320">
        <f>'CENTRO PAROQUIAL DE EDUCAÇÃO IN'!D9</f>
        <v/>
      </c>
    </row>
    <row r="2473" ht="15" customHeight="1" s="163">
      <c r="A2473" s="319">
        <f>'CENTRO PAROQUIAL DE EDUCAÇÃO IN'!I10</f>
        <v/>
      </c>
      <c r="B2473" s="320">
        <f>'CENTRO PAROQUIAL DE EDUCAÇÃO IN'!D10</f>
        <v/>
      </c>
    </row>
    <row r="2474" ht="15" customHeight="1" s="163">
      <c r="A2474" s="319">
        <f>'CENTRO PAROQUIAL DE EDUCAÇÃO IN'!I11</f>
        <v/>
      </c>
      <c r="B2474" s="320">
        <f>'CENTRO PAROQUIAL DE EDUCAÇÃO IN'!D11</f>
        <v/>
      </c>
    </row>
    <row r="2475" ht="15" customHeight="1" s="163">
      <c r="A2475" s="319">
        <f>'CENTRO PAROQUIAL DE EDUCAÇÃO IN'!I12</f>
        <v/>
      </c>
      <c r="B2475" s="320">
        <f>'CENTRO PAROQUIAL DE EDUCAÇÃO IN'!D12</f>
        <v/>
      </c>
    </row>
    <row r="2476" ht="15" customHeight="1" s="163">
      <c r="A2476" s="319">
        <f>'CENTRO PAROQUIAL DE EDUCAÇÃO IN'!I13</f>
        <v/>
      </c>
      <c r="B2476" s="320">
        <f>'CENTRO PAROQUIAL DE EDUCAÇÃO IN'!D13</f>
        <v/>
      </c>
    </row>
    <row r="2477" ht="15" customHeight="1" s="163">
      <c r="A2477" s="319">
        <f>'CENTRO PAROQUIAL DE EDUCAÇÃO IN'!I14</f>
        <v/>
      </c>
      <c r="B2477" s="320">
        <f>'CENTRO PAROQUIAL DE EDUCAÇÃO IN'!D14</f>
        <v/>
      </c>
    </row>
    <row r="2478" ht="15" customHeight="1" s="163">
      <c r="A2478" s="319">
        <f>'CENTRO PAROQUIAL DE EDUCAÇÃO IN'!I15</f>
        <v/>
      </c>
      <c r="B2478" s="320">
        <f>'CENTRO PAROQUIAL DE EDUCAÇÃO IN'!D15</f>
        <v/>
      </c>
    </row>
    <row r="2479" ht="15" customHeight="1" s="163">
      <c r="A2479" s="319">
        <f>'CENTRO PAROQUIAL DE EDUCAÇÃO IN'!I16</f>
        <v/>
      </c>
      <c r="B2479" s="320">
        <f>'CENTRO PAROQUIAL DE EDUCAÇÃO IN'!D16</f>
        <v/>
      </c>
    </row>
    <row r="2480" ht="15" customHeight="1" s="163">
      <c r="A2480" s="319">
        <f>'CENTRO PAROQUIAL DE EDUCAÇÃO IN'!I17</f>
        <v/>
      </c>
      <c r="B2480" s="320">
        <f>'CENTRO PAROQUIAL DE EDUCAÇÃO IN'!D17</f>
        <v/>
      </c>
    </row>
    <row r="2481" ht="15" customHeight="1" s="163">
      <c r="A2481" s="319">
        <f>'CENTRO PAROQUIAL DE EDUCAÇÃO IN'!I18</f>
        <v/>
      </c>
      <c r="B2481" s="320">
        <f>'CENTRO PAROQUIAL DE EDUCAÇÃO IN'!D18</f>
        <v/>
      </c>
    </row>
    <row r="2482" ht="15" customHeight="1" s="163">
      <c r="A2482" s="319">
        <f>'CENTRO PAROQUIAL DE EDUCAÇÃO IN'!I19</f>
        <v/>
      </c>
      <c r="B2482" s="320">
        <f>'CENTRO PAROQUIAL DE EDUCAÇÃO IN'!D19</f>
        <v/>
      </c>
    </row>
    <row r="2483" ht="15" customHeight="1" s="163">
      <c r="A2483" s="319">
        <f>'CENTRO PAROQUIAL DE EDUCAÇÃO IN'!I20</f>
        <v/>
      </c>
      <c r="B2483" s="320">
        <f>'CENTRO PAROQUIAL DE EDUCAÇÃO IN'!D20</f>
        <v/>
      </c>
    </row>
    <row r="2484" ht="15" customHeight="1" s="163">
      <c r="A2484" s="319">
        <f>'CENTRO PAROQUIAL DE EDUCAÇÃO IN'!I21</f>
        <v/>
      </c>
      <c r="B2484" s="320">
        <f>'CENTRO PAROQUIAL DE EDUCAÇÃO IN'!D21</f>
        <v/>
      </c>
    </row>
    <row r="2485" ht="15" customHeight="1" s="163">
      <c r="A2485" s="319">
        <f>'CENTRO PAROQUIAL DE EDUCAÇÃO IN'!I22</f>
        <v/>
      </c>
      <c r="B2485" s="320">
        <f>'CENTRO PAROQUIAL DE EDUCAÇÃO IN'!D22</f>
        <v/>
      </c>
    </row>
    <row r="2486" ht="15" customHeight="1" s="163">
      <c r="A2486" s="319">
        <f>'CENTRO PAROQUIAL DE EDUCAÇÃO IN'!I23</f>
        <v/>
      </c>
      <c r="B2486" s="320">
        <f>'CENTRO PAROQUIAL DE EDUCAÇÃO IN'!D23</f>
        <v/>
      </c>
    </row>
    <row r="2487" ht="15" customHeight="1" s="163">
      <c r="A2487" s="319">
        <f>'CENTRO PAROQUIAL DE EDUCAÇÃO IN'!I24</f>
        <v/>
      </c>
      <c r="B2487" s="320">
        <f>'CENTRO PAROQUIAL DE EDUCAÇÃO IN'!D24</f>
        <v/>
      </c>
    </row>
    <row r="2488" ht="15" customHeight="1" s="163">
      <c r="A2488" s="319">
        <f>'CENTRO PAROQUIAL DE EDUCAÇÃO IN'!I25</f>
        <v/>
      </c>
      <c r="B2488" s="320">
        <f>'CENTRO PAROQUIAL DE EDUCAÇÃO IN'!D25</f>
        <v/>
      </c>
    </row>
    <row r="2489" ht="15" customHeight="1" s="163">
      <c r="A2489" s="319">
        <f>'CENTRO PAROQUIAL DE EDUCAÇÃO IN'!I26</f>
        <v/>
      </c>
      <c r="B2489" s="320">
        <f>'CENTRO PAROQUIAL DE EDUCAÇÃO IN'!D26</f>
        <v/>
      </c>
    </row>
    <row r="2490" ht="15" customHeight="1" s="163">
      <c r="A2490" s="319">
        <f>'CENTRO PAROQUIAL DE EDUCAÇÃO IN'!I27</f>
        <v/>
      </c>
      <c r="B2490" s="320">
        <f>'CENTRO PAROQUIAL DE EDUCAÇÃO IN'!D27</f>
        <v/>
      </c>
    </row>
    <row r="2491" ht="15" customHeight="1" s="163">
      <c r="A2491" s="319">
        <f>'CEI VISTA ALEGRE'!I9</f>
        <v/>
      </c>
      <c r="B2491" s="320">
        <f>'CEI VISTA ALEGRE'!D9</f>
        <v/>
      </c>
    </row>
    <row r="2492" ht="15" customHeight="1" s="163">
      <c r="A2492" s="319">
        <f>'CEI VISTA ALEGRE'!I10</f>
        <v/>
      </c>
      <c r="B2492" s="320">
        <f>'CEI VISTA ALEGRE'!D10</f>
        <v/>
      </c>
    </row>
    <row r="2493" ht="15" customHeight="1" s="163">
      <c r="A2493" s="319">
        <f>'CEI VISTA ALEGRE'!I11</f>
        <v/>
      </c>
      <c r="B2493" s="320">
        <f>'CEI VISTA ALEGRE'!D11</f>
        <v/>
      </c>
    </row>
    <row r="2494" ht="15" customHeight="1" s="163">
      <c r="A2494" s="319">
        <f>'CEI VISTA ALEGRE'!I12</f>
        <v/>
      </c>
      <c r="B2494" s="320">
        <f>'CEI VISTA ALEGRE'!D12</f>
        <v/>
      </c>
    </row>
    <row r="2495" ht="15" customHeight="1" s="163">
      <c r="A2495" s="319">
        <f>'CEI VISTA ALEGRE'!I13</f>
        <v/>
      </c>
      <c r="B2495" s="320">
        <f>'CEI VISTA ALEGRE'!D13</f>
        <v/>
      </c>
    </row>
    <row r="2496" ht="15" customHeight="1" s="163">
      <c r="A2496" s="319">
        <f>'CEI VISTA ALEGRE'!I14</f>
        <v/>
      </c>
      <c r="B2496" s="320">
        <f>'CEI VISTA ALEGRE'!D14</f>
        <v/>
      </c>
    </row>
    <row r="2497" ht="15" customHeight="1" s="163">
      <c r="A2497" s="319">
        <f>'CEI VISTA ALEGRE'!I15</f>
        <v/>
      </c>
      <c r="B2497" s="320">
        <f>'CEI VISTA ALEGRE'!D15</f>
        <v/>
      </c>
    </row>
    <row r="2498" ht="15" customHeight="1" s="163">
      <c r="A2498" s="319">
        <f>'CEI VISTA ALEGRE'!I16</f>
        <v/>
      </c>
      <c r="B2498" s="320">
        <f>'CEI VISTA ALEGRE'!D16</f>
        <v/>
      </c>
    </row>
    <row r="2499" ht="15" customHeight="1" s="163">
      <c r="A2499" s="319">
        <f>'CEI VISTA ALEGRE'!I17</f>
        <v/>
      </c>
      <c r="B2499" s="320">
        <f>'CEI VISTA ALEGRE'!D17</f>
        <v/>
      </c>
    </row>
    <row r="2500" ht="15" customHeight="1" s="163">
      <c r="A2500" s="319">
        <f>'CEI VISTA ALEGRE'!I18</f>
        <v/>
      </c>
      <c r="B2500" s="320">
        <f>'CEI VISTA ALEGRE'!D18</f>
        <v/>
      </c>
    </row>
    <row r="2501" ht="15" customHeight="1" s="163">
      <c r="A2501" s="319">
        <f>'CEI VISTA ALEGRE'!I19</f>
        <v/>
      </c>
      <c r="B2501" s="320">
        <f>'CEI VISTA ALEGRE'!D19</f>
        <v/>
      </c>
    </row>
    <row r="2502" ht="15" customHeight="1" s="163">
      <c r="A2502" s="319">
        <f>'CEI VISTA ALEGRE'!I20</f>
        <v/>
      </c>
      <c r="B2502" s="320">
        <f>'CEI VISTA ALEGRE'!D20</f>
        <v/>
      </c>
    </row>
    <row r="2503" ht="15" customHeight="1" s="163">
      <c r="A2503" s="319">
        <f>'CEI VISTA ALEGRE'!I21</f>
        <v/>
      </c>
      <c r="B2503" s="320">
        <f>'CEI VISTA ALEGRE'!D21</f>
        <v/>
      </c>
    </row>
    <row r="2504" ht="15" customHeight="1" s="163">
      <c r="A2504" s="319">
        <f>'CEI VISTA ALEGRE'!I22</f>
        <v/>
      </c>
      <c r="B2504" s="320">
        <f>'CEI VISTA ALEGRE'!D22</f>
        <v/>
      </c>
    </row>
    <row r="2505" ht="15" customHeight="1" s="163">
      <c r="A2505" s="319">
        <f>'CEI VISTA ALEGRE'!I23</f>
        <v/>
      </c>
      <c r="B2505" s="320">
        <f>'CEI VISTA ALEGRE'!D23</f>
        <v/>
      </c>
    </row>
    <row r="2506" ht="15" customHeight="1" s="163">
      <c r="A2506" s="319">
        <f>'CEI VISTA ALEGRE'!I24</f>
        <v/>
      </c>
      <c r="B2506" s="320">
        <f>'CEI VISTA ALEGRE'!D24</f>
        <v/>
      </c>
    </row>
    <row r="2507" ht="15" customHeight="1" s="163">
      <c r="A2507" s="319">
        <f>'CEI VISTA ALEGRE'!I25</f>
        <v/>
      </c>
      <c r="B2507" s="320">
        <f>'CEI VISTA ALEGRE'!D25</f>
        <v/>
      </c>
    </row>
    <row r="2508" ht="15" customHeight="1" s="163">
      <c r="A2508" s="319">
        <f>'CEI VISTA ALEGRE'!I26</f>
        <v/>
      </c>
      <c r="B2508" s="320">
        <f>'CEI VISTA ALEGRE'!D26</f>
        <v/>
      </c>
    </row>
    <row r="2509" ht="15" customHeight="1" s="163">
      <c r="A2509" s="319">
        <f>'CEI VISTA ALEGRE'!I27</f>
        <v/>
      </c>
      <c r="B2509" s="320">
        <f>'CEI VISTA ALEGRE'!D27</f>
        <v/>
      </c>
    </row>
    <row r="2510" ht="15" customHeight="1" s="163">
      <c r="A2510" s="319">
        <f>'CEI ALDEIA DA CRIANCA'!I9</f>
        <v/>
      </c>
      <c r="B2510" s="320">
        <f>'CEI ALDEIA DA CRIANCA'!D9</f>
        <v/>
      </c>
    </row>
    <row r="2511" ht="15" customHeight="1" s="163">
      <c r="A2511" s="319">
        <f>'CEI ALDEIA DA CRIANCA'!I10</f>
        <v/>
      </c>
      <c r="B2511" s="320">
        <f>'CEI ALDEIA DA CRIANCA'!D10</f>
        <v/>
      </c>
    </row>
    <row r="2512" ht="15" customHeight="1" s="163">
      <c r="A2512" s="319">
        <f>'CEI ALDEIA DA CRIANCA'!I11</f>
        <v/>
      </c>
      <c r="B2512" s="320">
        <f>'CEI ALDEIA DA CRIANCA'!D11</f>
        <v/>
      </c>
    </row>
    <row r="2513" ht="15" customHeight="1" s="163">
      <c r="A2513" s="319">
        <f>'CEI ALDEIA DA CRIANCA'!I12</f>
        <v/>
      </c>
      <c r="B2513" s="320">
        <f>'CEI ALDEIA DA CRIANCA'!D12</f>
        <v/>
      </c>
    </row>
    <row r="2514" ht="15" customHeight="1" s="163">
      <c r="A2514" s="319">
        <f>'CEI ALDEIA DA CRIANCA'!I13</f>
        <v/>
      </c>
      <c r="B2514" s="320">
        <f>'CEI ALDEIA DA CRIANCA'!D13</f>
        <v/>
      </c>
    </row>
    <row r="2515" ht="15" customHeight="1" s="163">
      <c r="A2515" s="319">
        <f>'CEI ALDEIA DA CRIANCA'!I14</f>
        <v/>
      </c>
      <c r="B2515" s="320">
        <f>'CEI ALDEIA DA CRIANCA'!D14</f>
        <v/>
      </c>
    </row>
    <row r="2516" ht="15" customHeight="1" s="163">
      <c r="A2516" s="319">
        <f>'CEI ALDEIA DA CRIANCA'!I15</f>
        <v/>
      </c>
      <c r="B2516" s="320">
        <f>'CEI ALDEIA DA CRIANCA'!D15</f>
        <v/>
      </c>
    </row>
    <row r="2517" ht="15" customHeight="1" s="163">
      <c r="A2517" s="319">
        <f>'CEI ALDEIA DA CRIANCA'!I16</f>
        <v/>
      </c>
      <c r="B2517" s="320">
        <f>'CEI ALDEIA DA CRIANCA'!D16</f>
        <v/>
      </c>
    </row>
    <row r="2518" ht="15" customHeight="1" s="163">
      <c r="A2518" s="319">
        <f>'CEI ALDEIA DA CRIANCA'!I17</f>
        <v/>
      </c>
      <c r="B2518" s="320">
        <f>'CEI ALDEIA DA CRIANCA'!D17</f>
        <v/>
      </c>
    </row>
    <row r="2519" ht="15" customHeight="1" s="163">
      <c r="A2519" s="319">
        <f>'CEI ALDEIA DA CRIANCA'!I18</f>
        <v/>
      </c>
      <c r="B2519" s="320">
        <f>'CEI ALDEIA DA CRIANCA'!D18</f>
        <v/>
      </c>
    </row>
    <row r="2520" ht="15" customHeight="1" s="163">
      <c r="A2520" s="319">
        <f>'CEI ALDEIA DA CRIANCA'!I19</f>
        <v/>
      </c>
      <c r="B2520" s="320">
        <f>'CEI ALDEIA DA CRIANCA'!D19</f>
        <v/>
      </c>
    </row>
    <row r="2521" ht="15" customHeight="1" s="163">
      <c r="A2521" s="319">
        <f>'CEI ALDEIA DA CRIANCA'!I20</f>
        <v/>
      </c>
      <c r="B2521" s="320">
        <f>'CEI ALDEIA DA CRIANCA'!D20</f>
        <v/>
      </c>
    </row>
    <row r="2522" ht="15" customHeight="1" s="163">
      <c r="A2522" s="319">
        <f>'CEI ALDEIA DA CRIANCA'!I21</f>
        <v/>
      </c>
      <c r="B2522" s="320">
        <f>'CEI ALDEIA DA CRIANCA'!D21</f>
        <v/>
      </c>
    </row>
    <row r="2523" ht="15" customHeight="1" s="163">
      <c r="A2523" s="319">
        <f>'CEI ALDEIA DA CRIANCA'!I22</f>
        <v/>
      </c>
      <c r="B2523" s="320">
        <f>'CEI ALDEIA DA CRIANCA'!D22</f>
        <v/>
      </c>
    </row>
    <row r="2524" ht="15" customHeight="1" s="163">
      <c r="A2524" s="319">
        <f>'CEI ALDEIA DA CRIANCA'!I23</f>
        <v/>
      </c>
      <c r="B2524" s="320">
        <f>'CEI ALDEIA DA CRIANCA'!D23</f>
        <v/>
      </c>
    </row>
    <row r="2525" ht="15" customHeight="1" s="163">
      <c r="A2525" s="319">
        <f>'CEI ALDEIA DA CRIANCA'!I24</f>
        <v/>
      </c>
      <c r="B2525" s="320">
        <f>'CEI ALDEIA DA CRIANCA'!D24</f>
        <v/>
      </c>
    </row>
    <row r="2526" ht="15" customHeight="1" s="163">
      <c r="A2526" s="319">
        <f>'CEI ALDEIA DA CRIANCA'!I25</f>
        <v/>
      </c>
      <c r="B2526" s="320">
        <f>'CEI ALDEIA DA CRIANCA'!D25</f>
        <v/>
      </c>
    </row>
    <row r="2527" ht="15" customHeight="1" s="163">
      <c r="A2527" s="319">
        <f>'CEI ALDEIA DA CRIANCA'!I26</f>
        <v/>
      </c>
      <c r="B2527" s="320">
        <f>'CEI ALDEIA DA CRIANCA'!D26</f>
        <v/>
      </c>
    </row>
    <row r="2528" ht="15" customHeight="1" s="163">
      <c r="A2528" s="319">
        <f>'CEI ALDEIA DA CRIANCA'!I27</f>
        <v/>
      </c>
      <c r="B2528" s="320">
        <f>'CEI ALDEIA DA CRIANCA'!D27</f>
        <v/>
      </c>
    </row>
    <row r="2529" ht="15" customHeight="1" s="163">
      <c r="A2529" s="319">
        <f>'CEI DÉA LÚCIA CORDEIRO'!I9</f>
        <v/>
      </c>
      <c r="B2529" s="320">
        <f>'CEI DÉA LÚCIA CORDEIRO'!D9</f>
        <v/>
      </c>
    </row>
    <row r="2530" ht="15" customHeight="1" s="163">
      <c r="A2530" s="319">
        <f>'CEI DÉA LÚCIA CORDEIRO'!I10</f>
        <v/>
      </c>
      <c r="B2530" s="320">
        <f>'CEI DÉA LÚCIA CORDEIRO'!D10</f>
        <v/>
      </c>
    </row>
    <row r="2531" ht="15" customHeight="1" s="163">
      <c r="A2531" s="319">
        <f>'CEI DÉA LÚCIA CORDEIRO'!I11</f>
        <v/>
      </c>
      <c r="B2531" s="320">
        <f>'CEI DÉA LÚCIA CORDEIRO'!D11</f>
        <v/>
      </c>
    </row>
    <row r="2532" ht="15" customHeight="1" s="163">
      <c r="A2532" s="319">
        <f>'CEI DÉA LÚCIA CORDEIRO'!I12</f>
        <v/>
      </c>
      <c r="B2532" s="320">
        <f>'CEI DÉA LÚCIA CORDEIRO'!D12</f>
        <v/>
      </c>
    </row>
    <row r="2533" ht="15" customHeight="1" s="163">
      <c r="A2533" s="319">
        <f>'CEI DÉA LÚCIA CORDEIRO'!I13</f>
        <v/>
      </c>
      <c r="B2533" s="320">
        <f>'CEI DÉA LÚCIA CORDEIRO'!D13</f>
        <v/>
      </c>
    </row>
    <row r="2534" ht="15" customHeight="1" s="163">
      <c r="A2534" s="319">
        <f>'CEI DÉA LÚCIA CORDEIRO'!I14</f>
        <v/>
      </c>
      <c r="B2534" s="320">
        <f>'CEI DÉA LÚCIA CORDEIRO'!D14</f>
        <v/>
      </c>
    </row>
    <row r="2535" ht="15" customHeight="1" s="163">
      <c r="A2535" s="319">
        <f>'CEI DÉA LÚCIA CORDEIRO'!I15</f>
        <v/>
      </c>
      <c r="B2535" s="320">
        <f>'CEI DÉA LÚCIA CORDEIRO'!D15</f>
        <v/>
      </c>
    </row>
    <row r="2536" ht="15" customHeight="1" s="163">
      <c r="A2536" s="319">
        <f>'CEI DÉA LÚCIA CORDEIRO'!I16</f>
        <v/>
      </c>
      <c r="B2536" s="320">
        <f>'CEI DÉA LÚCIA CORDEIRO'!D16</f>
        <v/>
      </c>
    </row>
    <row r="2537" ht="15" customHeight="1" s="163">
      <c r="A2537" s="319">
        <f>'CEI DÉA LÚCIA CORDEIRO'!I17</f>
        <v/>
      </c>
      <c r="B2537" s="320">
        <f>'CEI DÉA LÚCIA CORDEIRO'!D17</f>
        <v/>
      </c>
    </row>
    <row r="2538" ht="15" customHeight="1" s="163">
      <c r="A2538" s="319">
        <f>'CEI DÉA LÚCIA CORDEIRO'!I18</f>
        <v/>
      </c>
      <c r="B2538" s="320">
        <f>'CEI DÉA LÚCIA CORDEIRO'!D18</f>
        <v/>
      </c>
    </row>
    <row r="2539" ht="15" customHeight="1" s="163">
      <c r="A2539" s="319">
        <f>'CEI DÉA LÚCIA CORDEIRO'!I19</f>
        <v/>
      </c>
      <c r="B2539" s="320">
        <f>'CEI DÉA LÚCIA CORDEIRO'!D19</f>
        <v/>
      </c>
    </row>
    <row r="2540" ht="15" customHeight="1" s="163">
      <c r="A2540" s="319">
        <f>'CEI DÉA LÚCIA CORDEIRO'!I20</f>
        <v/>
      </c>
      <c r="B2540" s="320">
        <f>'CEI DÉA LÚCIA CORDEIRO'!D20</f>
        <v/>
      </c>
    </row>
    <row r="2541" ht="15" customHeight="1" s="163">
      <c r="A2541" s="319">
        <f>'CEI DÉA LÚCIA CORDEIRO'!I21</f>
        <v/>
      </c>
      <c r="B2541" s="320">
        <f>'CEI DÉA LÚCIA CORDEIRO'!D21</f>
        <v/>
      </c>
    </row>
    <row r="2542" ht="15" customHeight="1" s="163">
      <c r="A2542" s="319">
        <f>'CEI DÉA LÚCIA CORDEIRO'!I22</f>
        <v/>
      </c>
      <c r="B2542" s="320">
        <f>'CEI DÉA LÚCIA CORDEIRO'!D22</f>
        <v/>
      </c>
    </row>
    <row r="2543" ht="15" customHeight="1" s="163">
      <c r="A2543" s="319">
        <f>'CEI DÉA LÚCIA CORDEIRO'!I23</f>
        <v/>
      </c>
      <c r="B2543" s="320">
        <f>'CEI DÉA LÚCIA CORDEIRO'!D23</f>
        <v/>
      </c>
    </row>
    <row r="2544" ht="15" customHeight="1" s="163">
      <c r="A2544" s="319">
        <f>'CEI DÉA LÚCIA CORDEIRO'!I24</f>
        <v/>
      </c>
      <c r="B2544" s="320">
        <f>'CEI DÉA LÚCIA CORDEIRO'!D24</f>
        <v/>
      </c>
    </row>
    <row r="2545" ht="15" customHeight="1" s="163">
      <c r="A2545" s="319">
        <f>'CEI DÉA LÚCIA CORDEIRO'!I25</f>
        <v/>
      </c>
      <c r="B2545" s="320">
        <f>'CEI DÉA LÚCIA CORDEIRO'!D25</f>
        <v/>
      </c>
    </row>
    <row r="2546" ht="15" customHeight="1" s="163">
      <c r="A2546" s="319">
        <f>'CEI DÉA LÚCIA CORDEIRO'!I26</f>
        <v/>
      </c>
      <c r="B2546" s="320">
        <f>'CEI DÉA LÚCIA CORDEIRO'!D26</f>
        <v/>
      </c>
    </row>
    <row r="2547" ht="15" customHeight="1" s="163">
      <c r="A2547" s="319">
        <f>'CEI DÉA LÚCIA CORDEIRO'!I27</f>
        <v/>
      </c>
      <c r="B2547" s="320">
        <f>'CEI DÉA LÚCIA CORDEIRO'!D27</f>
        <v/>
      </c>
    </row>
    <row r="2548" ht="15" customHeight="1" s="163">
      <c r="A2548" s="319">
        <f>'CENTRO DE EDUCAÇÃO INFANTIL CAR'!I9</f>
        <v/>
      </c>
      <c r="B2548" s="320">
        <f>'CENTRO DE EDUCAÇÃO INFANTIL CAR'!D9</f>
        <v/>
      </c>
    </row>
    <row r="2549" ht="15" customHeight="1" s="163">
      <c r="A2549" s="319">
        <f>'CENTRO DE EDUCAÇÃO INFANTIL CAR'!I10</f>
        <v/>
      </c>
      <c r="B2549" s="320">
        <f>'CENTRO DE EDUCAÇÃO INFANTIL CAR'!D10</f>
        <v/>
      </c>
    </row>
    <row r="2550" ht="15" customHeight="1" s="163">
      <c r="A2550" s="319">
        <f>'CENTRO DE EDUCAÇÃO INFANTIL CAR'!I11</f>
        <v/>
      </c>
      <c r="B2550" s="320">
        <f>'CENTRO DE EDUCAÇÃO INFANTIL CAR'!D11</f>
        <v/>
      </c>
    </row>
    <row r="2551" ht="15" customHeight="1" s="163">
      <c r="A2551" s="319">
        <f>'CENTRO DE EDUCAÇÃO INFANTIL CAR'!I12</f>
        <v/>
      </c>
      <c r="B2551" s="320">
        <f>'CENTRO DE EDUCAÇÃO INFANTIL CAR'!D12</f>
        <v/>
      </c>
    </row>
    <row r="2552" ht="15" customHeight="1" s="163">
      <c r="A2552" s="319">
        <f>'CENTRO DE EDUCAÇÃO INFANTIL CAR'!I13</f>
        <v/>
      </c>
      <c r="B2552" s="320">
        <f>'CENTRO DE EDUCAÇÃO INFANTIL CAR'!D13</f>
        <v/>
      </c>
    </row>
    <row r="2553" ht="15" customHeight="1" s="163">
      <c r="A2553" s="319">
        <f>'CENTRO DE EDUCAÇÃO INFANTIL CAR'!I14</f>
        <v/>
      </c>
      <c r="B2553" s="320">
        <f>'CENTRO DE EDUCAÇÃO INFANTIL CAR'!D14</f>
        <v/>
      </c>
    </row>
    <row r="2554" ht="15" customHeight="1" s="163">
      <c r="A2554" s="319">
        <f>'CENTRO DE EDUCAÇÃO INFANTIL CAR'!I15</f>
        <v/>
      </c>
      <c r="B2554" s="320">
        <f>'CENTRO DE EDUCAÇÃO INFANTIL CAR'!D15</f>
        <v/>
      </c>
    </row>
    <row r="2555" ht="15" customHeight="1" s="163">
      <c r="A2555" s="319">
        <f>'CENTRO DE EDUCAÇÃO INFANTIL CAR'!I16</f>
        <v/>
      </c>
      <c r="B2555" s="320">
        <f>'CENTRO DE EDUCAÇÃO INFANTIL CAR'!D16</f>
        <v/>
      </c>
    </row>
    <row r="2556" ht="15" customHeight="1" s="163">
      <c r="A2556" s="319">
        <f>'CENTRO DE EDUCAÇÃO INFANTIL CAR'!I17</f>
        <v/>
      </c>
      <c r="B2556" s="320">
        <f>'CENTRO DE EDUCAÇÃO INFANTIL CAR'!D17</f>
        <v/>
      </c>
    </row>
    <row r="2557" ht="15" customHeight="1" s="163">
      <c r="A2557" s="319">
        <f>'CENTRO DE EDUCAÇÃO INFANTIL CAR'!I18</f>
        <v/>
      </c>
      <c r="B2557" s="320">
        <f>'CENTRO DE EDUCAÇÃO INFANTIL CAR'!D18</f>
        <v/>
      </c>
    </row>
    <row r="2558" ht="15" customHeight="1" s="163">
      <c r="A2558" s="319">
        <f>'CENTRO DE EDUCAÇÃO INFANTIL CAR'!I19</f>
        <v/>
      </c>
      <c r="B2558" s="320">
        <f>'CENTRO DE EDUCAÇÃO INFANTIL CAR'!D19</f>
        <v/>
      </c>
    </row>
    <row r="2559" ht="15" customHeight="1" s="163">
      <c r="A2559" s="319">
        <f>'CENTRO DE EDUCAÇÃO INFANTIL CAR'!I20</f>
        <v/>
      </c>
      <c r="B2559" s="320">
        <f>'CENTRO DE EDUCAÇÃO INFANTIL CAR'!D20</f>
        <v/>
      </c>
    </row>
    <row r="2560" ht="15" customHeight="1" s="163">
      <c r="A2560" s="319">
        <f>'CENTRO DE EDUCAÇÃO INFANTIL CAR'!I21</f>
        <v/>
      </c>
      <c r="B2560" s="320">
        <f>'CENTRO DE EDUCAÇÃO INFANTIL CAR'!D21</f>
        <v/>
      </c>
    </row>
    <row r="2561" ht="15" customHeight="1" s="163">
      <c r="A2561" s="319">
        <f>'CENTRO DE EDUCAÇÃO INFANTIL CAR'!I22</f>
        <v/>
      </c>
      <c r="B2561" s="320">
        <f>'CENTRO DE EDUCAÇÃO INFANTIL CAR'!D22</f>
        <v/>
      </c>
    </row>
    <row r="2562" ht="15" customHeight="1" s="163">
      <c r="A2562" s="319">
        <f>'CENTRO DE EDUCAÇÃO INFANTIL CAR'!I23</f>
        <v/>
      </c>
      <c r="B2562" s="320">
        <f>'CENTRO DE EDUCAÇÃO INFANTIL CAR'!D23</f>
        <v/>
      </c>
    </row>
    <row r="2563" ht="15" customHeight="1" s="163">
      <c r="A2563" s="319">
        <f>'CENTRO DE EDUCAÇÃO INFANTIL CAR'!I24</f>
        <v/>
      </c>
      <c r="B2563" s="320">
        <f>'CENTRO DE EDUCAÇÃO INFANTIL CAR'!D24</f>
        <v/>
      </c>
    </row>
    <row r="2564" ht="15" customHeight="1" s="163">
      <c r="A2564" s="319">
        <f>'CENTRO DE EDUCAÇÃO INFANTIL CAR'!I25</f>
        <v/>
      </c>
      <c r="B2564" s="320">
        <f>'CENTRO DE EDUCAÇÃO INFANTIL CAR'!D25</f>
        <v/>
      </c>
    </row>
    <row r="2565" ht="15" customHeight="1" s="163">
      <c r="A2565" s="319">
        <f>'CENTRO DE EDUCAÇÃO INFANTIL CAR'!I26</f>
        <v/>
      </c>
      <c r="B2565" s="320">
        <f>'CENTRO DE EDUCAÇÃO INFANTIL CAR'!D26</f>
        <v/>
      </c>
    </row>
    <row r="2566" ht="15" customHeight="1" s="163">
      <c r="A2566" s="319">
        <f>'CENTRO DE EDUCAÇÃO INFANTIL CAR'!I27</f>
        <v/>
      </c>
      <c r="B2566" s="320">
        <f>'CENTRO DE EDUCAÇÃO INFANTIL CAR'!D27</f>
        <v/>
      </c>
    </row>
    <row r="2567" ht="15" customHeight="1" s="163">
      <c r="A2567" s="319">
        <f>'CEI IRMÃ SILVANA'!I9</f>
        <v/>
      </c>
      <c r="B2567" s="320">
        <f>'CEI IRMÃ SILVANA'!D9</f>
        <v/>
      </c>
    </row>
    <row r="2568" ht="15" customHeight="1" s="163">
      <c r="A2568" s="319">
        <f>'CEI IRMÃ SILVANA'!I10</f>
        <v/>
      </c>
      <c r="B2568" s="320">
        <f>'CEI IRMÃ SILVANA'!D10</f>
        <v/>
      </c>
    </row>
    <row r="2569" ht="15" customHeight="1" s="163">
      <c r="A2569" s="319">
        <f>'CEI IRMÃ SILVANA'!I11</f>
        <v/>
      </c>
      <c r="B2569" s="320">
        <f>'CEI IRMÃ SILVANA'!D11</f>
        <v/>
      </c>
    </row>
    <row r="2570" ht="15" customHeight="1" s="163">
      <c r="A2570" s="319">
        <f>'CEI IRMÃ SILVANA'!I12</f>
        <v/>
      </c>
      <c r="B2570" s="320">
        <f>'CEI IRMÃ SILVANA'!D12</f>
        <v/>
      </c>
    </row>
    <row r="2571" ht="15" customHeight="1" s="163">
      <c r="A2571" s="319">
        <f>'CEI IRMÃ SILVANA'!I13</f>
        <v/>
      </c>
      <c r="B2571" s="320">
        <f>'CEI IRMÃ SILVANA'!D13</f>
        <v/>
      </c>
    </row>
    <row r="2572" ht="15" customHeight="1" s="163">
      <c r="A2572" s="319">
        <f>'CEI IRMÃ SILVANA'!I14</f>
        <v/>
      </c>
      <c r="B2572" s="320">
        <f>'CEI IRMÃ SILVANA'!D14</f>
        <v/>
      </c>
    </row>
    <row r="2573" ht="15" customHeight="1" s="163">
      <c r="A2573" s="319">
        <f>'CEI IRMÃ SILVANA'!I15</f>
        <v/>
      </c>
      <c r="B2573" s="320">
        <f>'CEI IRMÃ SILVANA'!D15</f>
        <v/>
      </c>
    </row>
    <row r="2574" ht="15" customHeight="1" s="163">
      <c r="A2574" s="319">
        <f>'CEI IRMÃ SILVANA'!I16</f>
        <v/>
      </c>
      <c r="B2574" s="320">
        <f>'CEI IRMÃ SILVANA'!D16</f>
        <v/>
      </c>
    </row>
    <row r="2575" ht="15" customHeight="1" s="163">
      <c r="A2575" s="319">
        <f>'CEI IRMÃ SILVANA'!I17</f>
        <v/>
      </c>
      <c r="B2575" s="320">
        <f>'CEI IRMÃ SILVANA'!D17</f>
        <v/>
      </c>
    </row>
    <row r="2576" ht="15" customHeight="1" s="163">
      <c r="A2576" s="319">
        <f>'CEI IRMÃ SILVANA'!I18</f>
        <v/>
      </c>
      <c r="B2576" s="320">
        <f>'CEI IRMÃ SILVANA'!D18</f>
        <v/>
      </c>
    </row>
    <row r="2577" ht="15" customHeight="1" s="163">
      <c r="A2577" s="319">
        <f>'CEI IRMÃ SILVANA'!I19</f>
        <v/>
      </c>
      <c r="B2577" s="320">
        <f>'CEI IRMÃ SILVANA'!D19</f>
        <v/>
      </c>
    </row>
    <row r="2578" ht="15" customHeight="1" s="163">
      <c r="A2578" s="319">
        <f>'CEI IRMÃ SILVANA'!I20</f>
        <v/>
      </c>
      <c r="B2578" s="320">
        <f>'CEI IRMÃ SILVANA'!D20</f>
        <v/>
      </c>
    </row>
    <row r="2579" ht="15" customHeight="1" s="163">
      <c r="A2579" s="319">
        <f>'CEI IRMÃ SILVANA'!I21</f>
        <v/>
      </c>
      <c r="B2579" s="320">
        <f>'CEI IRMÃ SILVANA'!D21</f>
        <v/>
      </c>
    </row>
    <row r="2580" ht="15" customHeight="1" s="163">
      <c r="A2580" s="319">
        <f>'CEI IRMÃ SILVANA'!I22</f>
        <v/>
      </c>
      <c r="B2580" s="320">
        <f>'CEI IRMÃ SILVANA'!D22</f>
        <v/>
      </c>
    </row>
    <row r="2581" ht="15" customHeight="1" s="163">
      <c r="A2581" s="319">
        <f>'CEI IRMÃ SILVANA'!I23</f>
        <v/>
      </c>
      <c r="B2581" s="320">
        <f>'CEI IRMÃ SILVANA'!D23</f>
        <v/>
      </c>
    </row>
    <row r="2582" ht="15" customHeight="1" s="163">
      <c r="A2582" s="319">
        <f>'CEI IRMÃ SILVANA'!I24</f>
        <v/>
      </c>
      <c r="B2582" s="320">
        <f>'CEI IRMÃ SILVANA'!D24</f>
        <v/>
      </c>
    </row>
    <row r="2583" ht="15" customHeight="1" s="163">
      <c r="A2583" s="319">
        <f>'CEI IRMÃ SILVANA'!I25</f>
        <v/>
      </c>
      <c r="B2583" s="320">
        <f>'CEI IRMÃ SILVANA'!D25</f>
        <v/>
      </c>
    </row>
    <row r="2584" ht="15" customHeight="1" s="163">
      <c r="A2584" s="319">
        <f>'CEI IRMÃ SILVANA'!I26</f>
        <v/>
      </c>
      <c r="B2584" s="320">
        <f>'CEI IRMÃ SILVANA'!D26</f>
        <v/>
      </c>
    </row>
    <row r="2585" ht="15" customHeight="1" s="163">
      <c r="A2585" s="319">
        <f>'CEI IRMÃ SILVANA'!I27</f>
        <v/>
      </c>
      <c r="B2585" s="320">
        <f>'CEI IRMÃ SILVANA'!D27</f>
        <v/>
      </c>
    </row>
    <row r="2586" ht="15" customHeight="1" s="163">
      <c r="A2586" s="319">
        <f>'CEI MARLI SOARES FERREIRA NETTO'!I9</f>
        <v/>
      </c>
      <c r="B2586" s="320">
        <f>'CEI MARLI SOARES FERREIRA NETTO'!D9</f>
        <v/>
      </c>
    </row>
    <row r="2587" ht="15" customHeight="1" s="163">
      <c r="A2587" s="319">
        <f>'CEI MARLI SOARES FERREIRA NETTO'!I10</f>
        <v/>
      </c>
      <c r="B2587" s="320">
        <f>'CEI MARLI SOARES FERREIRA NETTO'!D10</f>
        <v/>
      </c>
    </row>
    <row r="2588" ht="15" customHeight="1" s="163">
      <c r="A2588" s="319">
        <f>'CEI MARLI SOARES FERREIRA NETTO'!I11</f>
        <v/>
      </c>
      <c r="B2588" s="320">
        <f>'CEI MARLI SOARES FERREIRA NETTO'!D11</f>
        <v/>
      </c>
    </row>
    <row r="2589" ht="15" customHeight="1" s="163">
      <c r="A2589" s="319">
        <f>'CEI MARLI SOARES FERREIRA NETTO'!I12</f>
        <v/>
      </c>
      <c r="B2589" s="320">
        <f>'CEI MARLI SOARES FERREIRA NETTO'!D12</f>
        <v/>
      </c>
    </row>
    <row r="2590" ht="15" customHeight="1" s="163">
      <c r="A2590" s="319">
        <f>'CEI MARLI SOARES FERREIRA NETTO'!I13</f>
        <v/>
      </c>
      <c r="B2590" s="320">
        <f>'CEI MARLI SOARES FERREIRA NETTO'!D13</f>
        <v/>
      </c>
    </row>
    <row r="2591" ht="15" customHeight="1" s="163">
      <c r="A2591" s="319">
        <f>'CEI MARLI SOARES FERREIRA NETTO'!I14</f>
        <v/>
      </c>
      <c r="B2591" s="320">
        <f>'CEI MARLI SOARES FERREIRA NETTO'!D14</f>
        <v/>
      </c>
    </row>
    <row r="2592" ht="15" customHeight="1" s="163">
      <c r="A2592" s="319">
        <f>'CEI MARLI SOARES FERREIRA NETTO'!I15</f>
        <v/>
      </c>
      <c r="B2592" s="320">
        <f>'CEI MARLI SOARES FERREIRA NETTO'!D15</f>
        <v/>
      </c>
    </row>
    <row r="2593" ht="15" customHeight="1" s="163">
      <c r="A2593" s="319">
        <f>'CEI MARLI SOARES FERREIRA NETTO'!I16</f>
        <v/>
      </c>
      <c r="B2593" s="320">
        <f>'CEI MARLI SOARES FERREIRA NETTO'!D16</f>
        <v/>
      </c>
    </row>
    <row r="2594" ht="15" customHeight="1" s="163">
      <c r="A2594" s="319">
        <f>'CEI MARLI SOARES FERREIRA NETTO'!I17</f>
        <v/>
      </c>
      <c r="B2594" s="320">
        <f>'CEI MARLI SOARES FERREIRA NETTO'!D17</f>
        <v/>
      </c>
    </row>
    <row r="2595" ht="15" customHeight="1" s="163">
      <c r="A2595" s="319">
        <f>'CEI MARLI SOARES FERREIRA NETTO'!I18</f>
        <v/>
      </c>
      <c r="B2595" s="320">
        <f>'CEI MARLI SOARES FERREIRA NETTO'!D18</f>
        <v/>
      </c>
    </row>
    <row r="2596" ht="15" customHeight="1" s="163">
      <c r="A2596" s="319">
        <f>'CEI MARLI SOARES FERREIRA NETTO'!I19</f>
        <v/>
      </c>
      <c r="B2596" s="320">
        <f>'CEI MARLI SOARES FERREIRA NETTO'!D19</f>
        <v/>
      </c>
    </row>
    <row r="2597" ht="15" customHeight="1" s="163">
      <c r="A2597" s="319">
        <f>'CEI MARLI SOARES FERREIRA NETTO'!I20</f>
        <v/>
      </c>
      <c r="B2597" s="320">
        <f>'CEI MARLI SOARES FERREIRA NETTO'!D20</f>
        <v/>
      </c>
    </row>
    <row r="2598" ht="15" customHeight="1" s="163">
      <c r="A2598" s="319">
        <f>'CEI MARLI SOARES FERREIRA NETTO'!I21</f>
        <v/>
      </c>
      <c r="B2598" s="320">
        <f>'CEI MARLI SOARES FERREIRA NETTO'!D21</f>
        <v/>
      </c>
    </row>
    <row r="2599" ht="15" customHeight="1" s="163">
      <c r="A2599" s="319">
        <f>'CEI MARLI SOARES FERREIRA NETTO'!I22</f>
        <v/>
      </c>
      <c r="B2599" s="320">
        <f>'CEI MARLI SOARES FERREIRA NETTO'!D22</f>
        <v/>
      </c>
    </row>
    <row r="2600" ht="15" customHeight="1" s="163">
      <c r="A2600" s="319">
        <f>'CEI MARLI SOARES FERREIRA NETTO'!I23</f>
        <v/>
      </c>
      <c r="B2600" s="320">
        <f>'CEI MARLI SOARES FERREIRA NETTO'!D23</f>
        <v/>
      </c>
    </row>
    <row r="2601" ht="15" customHeight="1" s="163">
      <c r="A2601" s="319">
        <f>'CEI MARLI SOARES FERREIRA NETTO'!I24</f>
        <v/>
      </c>
      <c r="B2601" s="320">
        <f>'CEI MARLI SOARES FERREIRA NETTO'!D24</f>
        <v/>
      </c>
    </row>
    <row r="2602" ht="15" customHeight="1" s="163">
      <c r="A2602" s="319">
        <f>'CEI MARLI SOARES FERREIRA NETTO'!I25</f>
        <v/>
      </c>
      <c r="B2602" s="320">
        <f>'CEI MARLI SOARES FERREIRA NETTO'!D25</f>
        <v/>
      </c>
    </row>
    <row r="2603" ht="15" customHeight="1" s="163">
      <c r="A2603" s="319">
        <f>'CEI MARLI SOARES FERREIRA NETTO'!I26</f>
        <v/>
      </c>
      <c r="B2603" s="320">
        <f>'CEI MARLI SOARES FERREIRA NETTO'!D26</f>
        <v/>
      </c>
    </row>
    <row r="2604" ht="15" customHeight="1" s="163">
      <c r="A2604" s="319">
        <f>'CEI MARLI SOARES FERREIRA NETTO'!I27</f>
        <v/>
      </c>
      <c r="B2604" s="320">
        <f>'CEI MARLI SOARES FERREIRA NETTO'!D27</f>
        <v/>
      </c>
    </row>
    <row r="2605" ht="15" customHeight="1" s="163">
      <c r="A2605" s="319">
        <f>'CEI PROFª SONIA REGINA SCUDESE '!I9</f>
        <v/>
      </c>
      <c r="B2605" s="320">
        <f>'CEI PROFª SONIA REGINA SCUDESE '!D9</f>
        <v/>
      </c>
    </row>
    <row r="2606" ht="15" customHeight="1" s="163">
      <c r="A2606" s="319">
        <f>'CEI PROFª SONIA REGINA SCUDESE '!I10</f>
        <v/>
      </c>
      <c r="B2606" s="320">
        <f>'CEI PROFª SONIA REGINA SCUDESE '!D10</f>
        <v/>
      </c>
    </row>
    <row r="2607" ht="15" customHeight="1" s="163">
      <c r="A2607" s="319">
        <f>'CEI PROFª SONIA REGINA SCUDESE '!I11</f>
        <v/>
      </c>
      <c r="B2607" s="320">
        <f>'CEI PROFª SONIA REGINA SCUDESE '!D11</f>
        <v/>
      </c>
    </row>
    <row r="2608" ht="15" customHeight="1" s="163">
      <c r="A2608" s="319">
        <f>'CEI PROFª SONIA REGINA SCUDESE '!I12</f>
        <v/>
      </c>
      <c r="B2608" s="320">
        <f>'CEI PROFª SONIA REGINA SCUDESE '!D12</f>
        <v/>
      </c>
    </row>
    <row r="2609" ht="15" customHeight="1" s="163">
      <c r="A2609" s="319">
        <f>'CEI PROFª SONIA REGINA SCUDESE '!I13</f>
        <v/>
      </c>
      <c r="B2609" s="320">
        <f>'CEI PROFª SONIA REGINA SCUDESE '!D13</f>
        <v/>
      </c>
    </row>
    <row r="2610" ht="15" customHeight="1" s="163">
      <c r="A2610" s="319">
        <f>'CEI PROFª SONIA REGINA SCUDESE '!I14</f>
        <v/>
      </c>
      <c r="B2610" s="320">
        <f>'CEI PROFª SONIA REGINA SCUDESE '!D14</f>
        <v/>
      </c>
    </row>
    <row r="2611" ht="15" customHeight="1" s="163">
      <c r="A2611" s="319">
        <f>'CEI PROFª SONIA REGINA SCUDESE '!I15</f>
        <v/>
      </c>
      <c r="B2611" s="320">
        <f>'CEI PROFª SONIA REGINA SCUDESE '!D15</f>
        <v/>
      </c>
    </row>
    <row r="2612" ht="15" customHeight="1" s="163">
      <c r="A2612" s="319">
        <f>'CEI PROFª SONIA REGINA SCUDESE '!I16</f>
        <v/>
      </c>
      <c r="B2612" s="320">
        <f>'CEI PROFª SONIA REGINA SCUDESE '!D16</f>
        <v/>
      </c>
    </row>
    <row r="2613" ht="15" customHeight="1" s="163">
      <c r="A2613" s="319">
        <f>'CEI PROFª SONIA REGINA SCUDESE '!I17</f>
        <v/>
      </c>
      <c r="B2613" s="320">
        <f>'CEI PROFª SONIA REGINA SCUDESE '!D17</f>
        <v/>
      </c>
    </row>
    <row r="2614" ht="15" customHeight="1" s="163">
      <c r="A2614" s="319">
        <f>'CEI PROFª SONIA REGINA SCUDESE '!I18</f>
        <v/>
      </c>
      <c r="B2614" s="320">
        <f>'CEI PROFª SONIA REGINA SCUDESE '!D18</f>
        <v/>
      </c>
    </row>
    <row r="2615" ht="15" customHeight="1" s="163">
      <c r="A2615" s="319">
        <f>'CEI PROFª SONIA REGINA SCUDESE '!I19</f>
        <v/>
      </c>
      <c r="B2615" s="320">
        <f>'CEI PROFª SONIA REGINA SCUDESE '!D19</f>
        <v/>
      </c>
    </row>
    <row r="2616" ht="15" customHeight="1" s="163">
      <c r="A2616" s="319">
        <f>'CEI PROFª SONIA REGINA SCUDESE '!I20</f>
        <v/>
      </c>
      <c r="B2616" s="320">
        <f>'CEI PROFª SONIA REGINA SCUDESE '!D20</f>
        <v/>
      </c>
    </row>
    <row r="2617" ht="15" customHeight="1" s="163">
      <c r="A2617" s="319">
        <f>'CEI PROFª SONIA REGINA SCUDESE '!I21</f>
        <v/>
      </c>
      <c r="B2617" s="320">
        <f>'CEI PROFª SONIA REGINA SCUDESE '!D21</f>
        <v/>
      </c>
    </row>
    <row r="2618" ht="15" customHeight="1" s="163">
      <c r="A2618" s="319">
        <f>'CEI PROFª SONIA REGINA SCUDESE '!I22</f>
        <v/>
      </c>
      <c r="B2618" s="320">
        <f>'CEI PROFª SONIA REGINA SCUDESE '!D22</f>
        <v/>
      </c>
    </row>
    <row r="2619" ht="15" customHeight="1" s="163">
      <c r="A2619" s="319">
        <f>'CEI PROFª SONIA REGINA SCUDESE '!I23</f>
        <v/>
      </c>
      <c r="B2619" s="320">
        <f>'CEI PROFª SONIA REGINA SCUDESE '!D23</f>
        <v/>
      </c>
    </row>
    <row r="2620" ht="15" customHeight="1" s="163">
      <c r="A2620" s="319">
        <f>'CEI PROFª SONIA REGINA SCUDESE '!I24</f>
        <v/>
      </c>
      <c r="B2620" s="320">
        <f>'CEI PROFª SONIA REGINA SCUDESE '!D24</f>
        <v/>
      </c>
    </row>
    <row r="2621" ht="15" customHeight="1" s="163">
      <c r="A2621" s="319">
        <f>'CEI PROFª SONIA REGINA SCUDESE '!I25</f>
        <v/>
      </c>
      <c r="B2621" s="320">
        <f>'CEI PROFª SONIA REGINA SCUDESE '!D25</f>
        <v/>
      </c>
    </row>
    <row r="2622" ht="15" customHeight="1" s="163">
      <c r="A2622" s="319">
        <f>'CEI PROFª SONIA REGINA SCUDESE '!I26</f>
        <v/>
      </c>
      <c r="B2622" s="320">
        <f>'CEI PROFª SONIA REGINA SCUDESE '!D26</f>
        <v/>
      </c>
    </row>
    <row r="2623" ht="15" customHeight="1" s="163">
      <c r="A2623" s="319">
        <f>'CEI PROFª SONIA REGINA SCUDESE '!I27</f>
        <v/>
      </c>
      <c r="B2623" s="320">
        <f>'CEI PROFª SONIA REGINA SCUDESE '!D27</f>
        <v/>
      </c>
    </row>
    <row r="2624" ht="15" customHeight="1" s="163">
      <c r="A2624" s="319">
        <f>'CEI DONA ESPERANZA DE BOURBON D'!I9</f>
        <v/>
      </c>
      <c r="B2624" s="320">
        <f>'CEI DONA ESPERANZA DE BOURBON D'!D9</f>
        <v/>
      </c>
    </row>
    <row r="2625" ht="15" customHeight="1" s="163">
      <c r="A2625" s="319">
        <f>'CEI DONA ESPERANZA DE BOURBON D'!I10</f>
        <v/>
      </c>
      <c r="B2625" s="320">
        <f>'CEI DONA ESPERANZA DE BOURBON D'!D10</f>
        <v/>
      </c>
    </row>
    <row r="2626" ht="15" customHeight="1" s="163">
      <c r="A2626" s="319">
        <f>'CEI DONA ESPERANZA DE BOURBON D'!I11</f>
        <v/>
      </c>
      <c r="B2626" s="320">
        <f>'CEI DONA ESPERANZA DE BOURBON D'!D11</f>
        <v/>
      </c>
    </row>
    <row r="2627" ht="15" customHeight="1" s="163">
      <c r="A2627" s="319">
        <f>'CEI DONA ESPERANZA DE BOURBON D'!I12</f>
        <v/>
      </c>
      <c r="B2627" s="320">
        <f>'CEI DONA ESPERANZA DE BOURBON D'!D12</f>
        <v/>
      </c>
    </row>
    <row r="2628" ht="15" customHeight="1" s="163">
      <c r="A2628" s="319">
        <f>'CEI DONA ESPERANZA DE BOURBON D'!I13</f>
        <v/>
      </c>
      <c r="B2628" s="320">
        <f>'CEI DONA ESPERANZA DE BOURBON D'!D13</f>
        <v/>
      </c>
    </row>
    <row r="2629" ht="15" customHeight="1" s="163">
      <c r="A2629" s="319">
        <f>'CEI DONA ESPERANZA DE BOURBON D'!I14</f>
        <v/>
      </c>
      <c r="B2629" s="320">
        <f>'CEI DONA ESPERANZA DE BOURBON D'!D14</f>
        <v/>
      </c>
    </row>
    <row r="2630" ht="15" customHeight="1" s="163">
      <c r="A2630" s="319">
        <f>'CEI DONA ESPERANZA DE BOURBON D'!I15</f>
        <v/>
      </c>
      <c r="B2630" s="320">
        <f>'CEI DONA ESPERANZA DE BOURBON D'!D15</f>
        <v/>
      </c>
    </row>
    <row r="2631" ht="15" customHeight="1" s="163">
      <c r="A2631" s="319">
        <f>'CEI DONA ESPERANZA DE BOURBON D'!I16</f>
        <v/>
      </c>
      <c r="B2631" s="320">
        <f>'CEI DONA ESPERANZA DE BOURBON D'!D16</f>
        <v/>
      </c>
    </row>
    <row r="2632" ht="15" customHeight="1" s="163">
      <c r="A2632" s="319">
        <f>'CEI DONA ESPERANZA DE BOURBON D'!I17</f>
        <v/>
      </c>
      <c r="B2632" s="320">
        <f>'CEI DONA ESPERANZA DE BOURBON D'!D17</f>
        <v/>
      </c>
    </row>
    <row r="2633" ht="15" customHeight="1" s="163">
      <c r="A2633" s="319">
        <f>'CEI DONA ESPERANZA DE BOURBON D'!I18</f>
        <v/>
      </c>
      <c r="B2633" s="320">
        <f>'CEI DONA ESPERANZA DE BOURBON D'!D18</f>
        <v/>
      </c>
    </row>
    <row r="2634" ht="15" customHeight="1" s="163">
      <c r="A2634" s="319">
        <f>'CEI DONA ESPERANZA DE BOURBON D'!I19</f>
        <v/>
      </c>
      <c r="B2634" s="320">
        <f>'CEI DONA ESPERANZA DE BOURBON D'!D19</f>
        <v/>
      </c>
    </row>
    <row r="2635" ht="15" customHeight="1" s="163">
      <c r="A2635" s="319">
        <f>'CEI DONA ESPERANZA DE BOURBON D'!I20</f>
        <v/>
      </c>
      <c r="B2635" s="320">
        <f>'CEI DONA ESPERANZA DE BOURBON D'!D20</f>
        <v/>
      </c>
    </row>
    <row r="2636" ht="15" customHeight="1" s="163">
      <c r="A2636" s="319">
        <f>'CEI DONA ESPERANZA DE BOURBON D'!I21</f>
        <v/>
      </c>
      <c r="B2636" s="320">
        <f>'CEI DONA ESPERANZA DE BOURBON D'!D21</f>
        <v/>
      </c>
    </row>
    <row r="2637" ht="15" customHeight="1" s="163">
      <c r="A2637" s="319">
        <f>'CEI DONA ESPERANZA DE BOURBON D'!I22</f>
        <v/>
      </c>
      <c r="B2637" s="320">
        <f>'CEI DONA ESPERANZA DE BOURBON D'!D22</f>
        <v/>
      </c>
    </row>
    <row r="2638" ht="15" customHeight="1" s="163">
      <c r="A2638" s="319">
        <f>'CEI DONA ESPERANZA DE BOURBON D'!I23</f>
        <v/>
      </c>
      <c r="B2638" s="320">
        <f>'CEI DONA ESPERANZA DE BOURBON D'!D23</f>
        <v/>
      </c>
    </row>
    <row r="2639" ht="15" customHeight="1" s="163">
      <c r="A2639" s="319">
        <f>'CEI DONA ESPERANZA DE BOURBON D'!I24</f>
        <v/>
      </c>
      <c r="B2639" s="320">
        <f>'CEI DONA ESPERANZA DE BOURBON D'!D24</f>
        <v/>
      </c>
    </row>
    <row r="2640" ht="15" customHeight="1" s="163">
      <c r="A2640" s="319">
        <f>'CEI DONA ESPERANZA DE BOURBON D'!I25</f>
        <v/>
      </c>
      <c r="B2640" s="320">
        <f>'CEI DONA ESPERANZA DE BOURBON D'!D25</f>
        <v/>
      </c>
    </row>
    <row r="2641" ht="15" customHeight="1" s="163">
      <c r="A2641" s="319">
        <f>'CEI DONA ESPERANZA DE BOURBON D'!I26</f>
        <v/>
      </c>
      <c r="B2641" s="320">
        <f>'CEI DONA ESPERANZA DE BOURBON D'!D26</f>
        <v/>
      </c>
    </row>
    <row r="2642" ht="15" customHeight="1" s="163">
      <c r="A2642" s="319">
        <f>'CEI DONA ESPERANZA DE BOURBON D'!I27</f>
        <v/>
      </c>
      <c r="B2642" s="320">
        <f>'CEI DONA ESPERANZA DE BOURBON D'!D27</f>
        <v/>
      </c>
    </row>
    <row r="2643" ht="15" customHeight="1" s="163">
      <c r="A2643" s="319">
        <f>'CEI PREFEITO SÉRGIO FADEL'!I9</f>
        <v/>
      </c>
      <c r="B2643" s="320">
        <f>'CEI PREFEITO SÉRGIO FADEL'!D9</f>
        <v/>
      </c>
    </row>
    <row r="2644" ht="15" customHeight="1" s="163">
      <c r="A2644" s="319">
        <f>'CEI PREFEITO SÉRGIO FADEL'!I10</f>
        <v/>
      </c>
      <c r="B2644" s="320">
        <f>'CEI PREFEITO SÉRGIO FADEL'!D10</f>
        <v/>
      </c>
    </row>
    <row r="2645" ht="15" customHeight="1" s="163">
      <c r="A2645" s="319">
        <f>'CEI PREFEITO SÉRGIO FADEL'!I11</f>
        <v/>
      </c>
      <c r="B2645" s="320">
        <f>'CEI PREFEITO SÉRGIO FADEL'!D11</f>
        <v/>
      </c>
    </row>
    <row r="2646" ht="15" customHeight="1" s="163">
      <c r="A2646" s="319">
        <f>'CEI PREFEITO SÉRGIO FADEL'!I12</f>
        <v/>
      </c>
      <c r="B2646" s="320">
        <f>'CEI PREFEITO SÉRGIO FADEL'!D12</f>
        <v/>
      </c>
    </row>
    <row r="2647" ht="15" customHeight="1" s="163">
      <c r="A2647" s="319">
        <f>'CEI PREFEITO SÉRGIO FADEL'!I13</f>
        <v/>
      </c>
      <c r="B2647" s="320">
        <f>'CEI PREFEITO SÉRGIO FADEL'!D13</f>
        <v/>
      </c>
    </row>
    <row r="2648" ht="15" customHeight="1" s="163">
      <c r="A2648" s="319">
        <f>'CEI PREFEITO SÉRGIO FADEL'!I14</f>
        <v/>
      </c>
      <c r="B2648" s="320">
        <f>'CEI PREFEITO SÉRGIO FADEL'!D14</f>
        <v/>
      </c>
    </row>
    <row r="2649" ht="15" customHeight="1" s="163">
      <c r="A2649" s="319">
        <f>'CEI PREFEITO SÉRGIO FADEL'!I15</f>
        <v/>
      </c>
      <c r="B2649" s="320">
        <f>'CEI PREFEITO SÉRGIO FADEL'!D15</f>
        <v/>
      </c>
    </row>
    <row r="2650" ht="15" customHeight="1" s="163">
      <c r="A2650" s="319">
        <f>'CEI PREFEITO SÉRGIO FADEL'!I16</f>
        <v/>
      </c>
      <c r="B2650" s="320">
        <f>'CEI PREFEITO SÉRGIO FADEL'!D16</f>
        <v/>
      </c>
    </row>
    <row r="2651" ht="15" customHeight="1" s="163">
      <c r="A2651" s="319">
        <f>'CEI PREFEITO SÉRGIO FADEL'!I17</f>
        <v/>
      </c>
      <c r="B2651" s="320">
        <f>'CEI PREFEITO SÉRGIO FADEL'!D17</f>
        <v/>
      </c>
    </row>
    <row r="2652" ht="15" customHeight="1" s="163">
      <c r="A2652" s="319">
        <f>'CEI PREFEITO SÉRGIO FADEL'!I18</f>
        <v/>
      </c>
      <c r="B2652" s="320">
        <f>'CEI PREFEITO SÉRGIO FADEL'!D18</f>
        <v/>
      </c>
    </row>
    <row r="2653" ht="15" customHeight="1" s="163">
      <c r="A2653" s="319">
        <f>'CEI PREFEITO SÉRGIO FADEL'!I19</f>
        <v/>
      </c>
      <c r="B2653" s="320">
        <f>'CEI PREFEITO SÉRGIO FADEL'!D19</f>
        <v/>
      </c>
    </row>
    <row r="2654" ht="15" customHeight="1" s="163">
      <c r="A2654" s="319">
        <f>'CEI PREFEITO SÉRGIO FADEL'!I20</f>
        <v/>
      </c>
      <c r="B2654" s="320">
        <f>'CEI PREFEITO SÉRGIO FADEL'!D20</f>
        <v/>
      </c>
    </row>
    <row r="2655" ht="15" customHeight="1" s="163">
      <c r="A2655" s="319">
        <f>'CEI PREFEITO SÉRGIO FADEL'!I21</f>
        <v/>
      </c>
      <c r="B2655" s="320">
        <f>'CEI PREFEITO SÉRGIO FADEL'!D21</f>
        <v/>
      </c>
    </row>
    <row r="2656" ht="15" customHeight="1" s="163">
      <c r="A2656" s="319">
        <f>'CEI PREFEITO SÉRGIO FADEL'!I22</f>
        <v/>
      </c>
      <c r="B2656" s="320">
        <f>'CEI PREFEITO SÉRGIO FADEL'!D22</f>
        <v/>
      </c>
    </row>
    <row r="2657" ht="15" customHeight="1" s="163">
      <c r="A2657" s="319">
        <f>'CEI PREFEITO SÉRGIO FADEL'!I23</f>
        <v/>
      </c>
      <c r="B2657" s="320">
        <f>'CEI PREFEITO SÉRGIO FADEL'!D23</f>
        <v/>
      </c>
    </row>
    <row r="2658" ht="15" customHeight="1" s="163">
      <c r="A2658" s="319">
        <f>'CEI PREFEITO SÉRGIO FADEL'!I24</f>
        <v/>
      </c>
      <c r="B2658" s="320">
        <f>'CEI PREFEITO SÉRGIO FADEL'!D24</f>
        <v/>
      </c>
    </row>
    <row r="2659" ht="15" customHeight="1" s="163">
      <c r="A2659" s="319">
        <f>'CEI PREFEITO SÉRGIO FADEL'!I25</f>
        <v/>
      </c>
      <c r="B2659" s="320">
        <f>'CEI PREFEITO SÉRGIO FADEL'!D25</f>
        <v/>
      </c>
    </row>
    <row r="2660" ht="15" customHeight="1" s="163">
      <c r="A2660" s="319">
        <f>'CEI PREFEITO SÉRGIO FADEL'!I26</f>
        <v/>
      </c>
      <c r="B2660" s="320">
        <f>'CEI PREFEITO SÉRGIO FADEL'!D26</f>
        <v/>
      </c>
    </row>
    <row r="2661" ht="15" customHeight="1" s="163">
      <c r="A2661" s="319">
        <f>'CEI PREFEITO SÉRGIO FADEL'!I27</f>
        <v/>
      </c>
      <c r="B2661" s="320">
        <f>'CEI PREFEITO SÉRGIO FADEL'!D27</f>
        <v/>
      </c>
    </row>
    <row r="2662" ht="15" customHeight="1" s="163">
      <c r="A2662" s="319">
        <f>'CEI ANDRÉ REBOUÇAS'!I9</f>
        <v/>
      </c>
      <c r="B2662" s="320">
        <f>'CEI ANDRÉ REBOUÇAS'!D9</f>
        <v/>
      </c>
    </row>
    <row r="2663" ht="15" customHeight="1" s="163">
      <c r="A2663" s="319">
        <f>'CEI ANDRÉ REBOUÇAS'!I10</f>
        <v/>
      </c>
      <c r="B2663" s="320">
        <f>'CEI ANDRÉ REBOUÇAS'!D10</f>
        <v/>
      </c>
    </row>
    <row r="2664" ht="15" customHeight="1" s="163">
      <c r="A2664" s="319">
        <f>'CEI ANDRÉ REBOUÇAS'!I11</f>
        <v/>
      </c>
      <c r="B2664" s="320">
        <f>'CEI ANDRÉ REBOUÇAS'!D11</f>
        <v/>
      </c>
    </row>
    <row r="2665" ht="15" customHeight="1" s="163">
      <c r="A2665" s="319">
        <f>'CEI ANDRÉ REBOUÇAS'!I12</f>
        <v/>
      </c>
      <c r="B2665" s="320">
        <f>'CEI ANDRÉ REBOUÇAS'!D12</f>
        <v/>
      </c>
    </row>
    <row r="2666" ht="15" customHeight="1" s="163">
      <c r="A2666" s="319">
        <f>'CEI ANDRÉ REBOUÇAS'!I13</f>
        <v/>
      </c>
      <c r="B2666" s="320">
        <f>'CEI ANDRÉ REBOUÇAS'!D13</f>
        <v/>
      </c>
    </row>
    <row r="2667" ht="15" customHeight="1" s="163">
      <c r="A2667" s="319">
        <f>'CEI ANDRÉ REBOUÇAS'!I14</f>
        <v/>
      </c>
      <c r="B2667" s="320">
        <f>'CEI ANDRÉ REBOUÇAS'!D14</f>
        <v/>
      </c>
    </row>
    <row r="2668" ht="15" customHeight="1" s="163">
      <c r="A2668" s="319">
        <f>'CEI ANDRÉ REBOUÇAS'!I15</f>
        <v/>
      </c>
      <c r="B2668" s="320">
        <f>'CEI ANDRÉ REBOUÇAS'!D15</f>
        <v/>
      </c>
    </row>
    <row r="2669" ht="15" customHeight="1" s="163">
      <c r="A2669" s="319">
        <f>'CEI ANDRÉ REBOUÇAS'!I16</f>
        <v/>
      </c>
      <c r="B2669" s="320">
        <f>'CEI ANDRÉ REBOUÇAS'!D16</f>
        <v/>
      </c>
    </row>
    <row r="2670" ht="15" customHeight="1" s="163">
      <c r="A2670" s="319">
        <f>'CEI ANDRÉ REBOUÇAS'!I17</f>
        <v/>
      </c>
      <c r="B2670" s="320">
        <f>'CEI ANDRÉ REBOUÇAS'!D17</f>
        <v/>
      </c>
    </row>
    <row r="2671" ht="15" customHeight="1" s="163">
      <c r="A2671" s="319">
        <f>'CEI ANDRÉ REBOUÇAS'!I18</f>
        <v/>
      </c>
      <c r="B2671" s="320">
        <f>'CEI ANDRÉ REBOUÇAS'!D18</f>
        <v/>
      </c>
    </row>
    <row r="2672" ht="15" customHeight="1" s="163">
      <c r="A2672" s="319">
        <f>'CEI ANDRÉ REBOUÇAS'!I19</f>
        <v/>
      </c>
      <c r="B2672" s="320">
        <f>'CEI ANDRÉ REBOUÇAS'!D19</f>
        <v/>
      </c>
    </row>
    <row r="2673" ht="15" customHeight="1" s="163">
      <c r="A2673" s="319">
        <f>'CEI ANDRÉ REBOUÇAS'!I20</f>
        <v/>
      </c>
      <c r="B2673" s="320">
        <f>'CEI ANDRÉ REBOUÇAS'!D20</f>
        <v/>
      </c>
    </row>
    <row r="2674" ht="15" customHeight="1" s="163">
      <c r="A2674" s="319">
        <f>'CEI ANDRÉ REBOUÇAS'!I21</f>
        <v/>
      </c>
      <c r="B2674" s="320">
        <f>'CEI ANDRÉ REBOUÇAS'!D21</f>
        <v/>
      </c>
    </row>
    <row r="2675" ht="15" customHeight="1" s="163">
      <c r="A2675" s="319">
        <f>'CEI ANDRÉ REBOUÇAS'!I22</f>
        <v/>
      </c>
      <c r="B2675" s="320">
        <f>'CEI ANDRÉ REBOUÇAS'!D22</f>
        <v/>
      </c>
    </row>
    <row r="2676" ht="15" customHeight="1" s="163">
      <c r="A2676" s="319">
        <f>'CEI ANDRÉ REBOUÇAS'!I23</f>
        <v/>
      </c>
      <c r="B2676" s="320">
        <f>'CEI ANDRÉ REBOUÇAS'!D23</f>
        <v/>
      </c>
    </row>
    <row r="2677" ht="15" customHeight="1" s="163">
      <c r="A2677" s="319">
        <f>'CEI ANDRÉ REBOUÇAS'!I24</f>
        <v/>
      </c>
      <c r="B2677" s="320">
        <f>'CEI ANDRÉ REBOUÇAS'!D24</f>
        <v/>
      </c>
    </row>
    <row r="2678" ht="15" customHeight="1" s="163">
      <c r="A2678" s="319">
        <f>'CEI ANDRÉ REBOUÇAS'!I25</f>
        <v/>
      </c>
      <c r="B2678" s="320">
        <f>'CEI ANDRÉ REBOUÇAS'!D25</f>
        <v/>
      </c>
    </row>
    <row r="2679" ht="15" customHeight="1" s="163">
      <c r="A2679" s="319">
        <f>'CEI ANDRÉ REBOUÇAS'!I26</f>
        <v/>
      </c>
      <c r="B2679" s="320">
        <f>'CEI ANDRÉ REBOUÇAS'!D26</f>
        <v/>
      </c>
    </row>
    <row r="2680" ht="15" customHeight="1" s="163">
      <c r="A2680" s="319">
        <f>'CEI ANDRÉ REBOUÇAS'!I27</f>
        <v/>
      </c>
      <c r="B2680" s="320">
        <f>'CEI ANDRÉ REBOUÇAS'!D27</f>
        <v/>
      </c>
    </row>
    <row r="2681" ht="15" customHeight="1" s="163">
      <c r="A2681" s="319">
        <f>'CENTRO DE EDUCAÇÃO INFANTIL CHI'!I9</f>
        <v/>
      </c>
      <c r="B2681" s="320">
        <f>'CENTRO DE EDUCAÇÃO INFANTIL CHI'!D9</f>
        <v/>
      </c>
    </row>
    <row r="2682" ht="15" customHeight="1" s="163">
      <c r="A2682" s="319">
        <f>'CENTRO DE EDUCAÇÃO INFANTIL CHI'!I10</f>
        <v/>
      </c>
      <c r="B2682" s="320">
        <f>'CENTRO DE EDUCAÇÃO INFANTIL CHI'!D10</f>
        <v/>
      </c>
    </row>
    <row r="2683" ht="15" customHeight="1" s="163">
      <c r="A2683" s="319">
        <f>'CENTRO DE EDUCAÇÃO INFANTIL CHI'!I11</f>
        <v/>
      </c>
      <c r="B2683" s="320">
        <f>'CENTRO DE EDUCAÇÃO INFANTIL CHI'!D11</f>
        <v/>
      </c>
    </row>
    <row r="2684" ht="15" customHeight="1" s="163">
      <c r="A2684" s="319">
        <f>'CENTRO DE EDUCAÇÃO INFANTIL CHI'!I12</f>
        <v/>
      </c>
      <c r="B2684" s="320">
        <f>'CENTRO DE EDUCAÇÃO INFANTIL CHI'!D12</f>
        <v/>
      </c>
    </row>
    <row r="2685" ht="15" customHeight="1" s="163">
      <c r="A2685" s="319">
        <f>'CENTRO DE EDUCAÇÃO INFANTIL CHI'!I13</f>
        <v/>
      </c>
      <c r="B2685" s="320">
        <f>'CENTRO DE EDUCAÇÃO INFANTIL CHI'!D13</f>
        <v/>
      </c>
    </row>
    <row r="2686" ht="15" customHeight="1" s="163">
      <c r="A2686" s="319">
        <f>'CENTRO DE EDUCAÇÃO INFANTIL CHI'!I14</f>
        <v/>
      </c>
      <c r="B2686" s="320">
        <f>'CENTRO DE EDUCAÇÃO INFANTIL CHI'!D14</f>
        <v/>
      </c>
    </row>
    <row r="2687" ht="15" customHeight="1" s="163">
      <c r="A2687" s="319">
        <f>'CENTRO DE EDUCAÇÃO INFANTIL CHI'!I15</f>
        <v/>
      </c>
      <c r="B2687" s="320">
        <f>'CENTRO DE EDUCAÇÃO INFANTIL CHI'!D15</f>
        <v/>
      </c>
    </row>
    <row r="2688" ht="15" customHeight="1" s="163">
      <c r="A2688" s="319">
        <f>'CENTRO DE EDUCAÇÃO INFANTIL CHI'!I16</f>
        <v/>
      </c>
      <c r="B2688" s="320">
        <f>'CENTRO DE EDUCAÇÃO INFANTIL CHI'!D16</f>
        <v/>
      </c>
    </row>
    <row r="2689" ht="15" customHeight="1" s="163">
      <c r="A2689" s="319">
        <f>'CENTRO DE EDUCAÇÃO INFANTIL CHI'!I17</f>
        <v/>
      </c>
      <c r="B2689" s="320">
        <f>'CENTRO DE EDUCAÇÃO INFANTIL CHI'!D17</f>
        <v/>
      </c>
    </row>
    <row r="2690" ht="15" customHeight="1" s="163">
      <c r="A2690" s="319">
        <f>'CENTRO DE EDUCAÇÃO INFANTIL CHI'!I18</f>
        <v/>
      </c>
      <c r="B2690" s="320">
        <f>'CENTRO DE EDUCAÇÃO INFANTIL CHI'!D18</f>
        <v/>
      </c>
    </row>
    <row r="2691" ht="15" customHeight="1" s="163">
      <c r="A2691" s="319">
        <f>'CENTRO DE EDUCAÇÃO INFANTIL CHI'!I19</f>
        <v/>
      </c>
      <c r="B2691" s="320">
        <f>'CENTRO DE EDUCAÇÃO INFANTIL CHI'!D19</f>
        <v/>
      </c>
    </row>
    <row r="2692" ht="15" customHeight="1" s="163">
      <c r="A2692" s="319">
        <f>'CENTRO DE EDUCAÇÃO INFANTIL CHI'!I20</f>
        <v/>
      </c>
      <c r="B2692" s="320">
        <f>'CENTRO DE EDUCAÇÃO INFANTIL CHI'!D20</f>
        <v/>
      </c>
    </row>
    <row r="2693" ht="15" customHeight="1" s="163">
      <c r="A2693" s="319">
        <f>'CENTRO DE EDUCAÇÃO INFANTIL CHI'!I21</f>
        <v/>
      </c>
      <c r="B2693" s="320">
        <f>'CENTRO DE EDUCAÇÃO INFANTIL CHI'!D21</f>
        <v/>
      </c>
    </row>
    <row r="2694" ht="15" customHeight="1" s="163">
      <c r="A2694" s="319">
        <f>'CENTRO DE EDUCAÇÃO INFANTIL CHI'!I22</f>
        <v/>
      </c>
      <c r="B2694" s="320">
        <f>'CENTRO DE EDUCAÇÃO INFANTIL CHI'!D22</f>
        <v/>
      </c>
    </row>
    <row r="2695" ht="15" customHeight="1" s="163">
      <c r="A2695" s="319">
        <f>'CENTRO DE EDUCAÇÃO INFANTIL CHI'!I23</f>
        <v/>
      </c>
      <c r="B2695" s="320">
        <f>'CENTRO DE EDUCAÇÃO INFANTIL CHI'!D23</f>
        <v/>
      </c>
    </row>
    <row r="2696" ht="15" customHeight="1" s="163">
      <c r="A2696" s="319">
        <f>'CENTRO DE EDUCAÇÃO INFANTIL CHI'!I24</f>
        <v/>
      </c>
      <c r="B2696" s="320">
        <f>'CENTRO DE EDUCAÇÃO INFANTIL CHI'!D24</f>
        <v/>
      </c>
    </row>
    <row r="2697" ht="15" customHeight="1" s="163">
      <c r="A2697" s="319">
        <f>'CENTRO DE EDUCAÇÃO INFANTIL CHI'!I25</f>
        <v/>
      </c>
      <c r="B2697" s="320">
        <f>'CENTRO DE EDUCAÇÃO INFANTIL CHI'!D25</f>
        <v/>
      </c>
    </row>
    <row r="2698" ht="15" customHeight="1" s="163">
      <c r="A2698" s="319">
        <f>'CENTRO DE EDUCAÇÃO INFANTIL CHI'!I26</f>
        <v/>
      </c>
      <c r="B2698" s="320">
        <f>'CENTRO DE EDUCAÇÃO INFANTIL CHI'!D26</f>
        <v/>
      </c>
    </row>
    <row r="2699" ht="15" customHeight="1" s="163">
      <c r="A2699" s="319">
        <f>'CENTRO DE EDUCAÇÃO INFANTIL CHI'!I27</f>
        <v/>
      </c>
      <c r="B2699" s="320">
        <f>'CENTRO DE EDUCAÇÃO INFANTIL CHI'!D27</f>
        <v/>
      </c>
    </row>
    <row r="2700" ht="15" customHeight="1" s="163">
      <c r="A2700" s="319">
        <f>'CEI TIA ALICE'!I9</f>
        <v/>
      </c>
      <c r="B2700" s="320">
        <f>'CEI TIA ALICE'!D9</f>
        <v/>
      </c>
    </row>
    <row r="2701" ht="15" customHeight="1" s="163">
      <c r="A2701" s="319">
        <f>'CEI TIA ALICE'!I10</f>
        <v/>
      </c>
      <c r="B2701" s="320">
        <f>'CEI TIA ALICE'!D10</f>
        <v/>
      </c>
    </row>
    <row r="2702" ht="15" customHeight="1" s="163">
      <c r="A2702" s="319">
        <f>'CEI TIA ALICE'!I11</f>
        <v/>
      </c>
      <c r="B2702" s="320">
        <f>'CEI TIA ALICE'!D11</f>
        <v/>
      </c>
    </row>
    <row r="2703" ht="15" customHeight="1" s="163">
      <c r="A2703" s="319">
        <f>'CEI TIA ALICE'!I12</f>
        <v/>
      </c>
      <c r="B2703" s="320">
        <f>'CEI TIA ALICE'!D12</f>
        <v/>
      </c>
    </row>
    <row r="2704" ht="15" customHeight="1" s="163">
      <c r="A2704" s="319">
        <f>'CEI TIA ALICE'!I13</f>
        <v/>
      </c>
      <c r="B2704" s="320">
        <f>'CEI TIA ALICE'!D13</f>
        <v/>
      </c>
    </row>
    <row r="2705" ht="15" customHeight="1" s="163">
      <c r="A2705" s="319">
        <f>'CEI TIA ALICE'!I14</f>
        <v/>
      </c>
      <c r="B2705" s="320">
        <f>'CEI TIA ALICE'!D14</f>
        <v/>
      </c>
    </row>
    <row r="2706" ht="15" customHeight="1" s="163">
      <c r="A2706" s="319">
        <f>'CEI TIA ALICE'!I15</f>
        <v/>
      </c>
      <c r="B2706" s="320">
        <f>'CEI TIA ALICE'!D15</f>
        <v/>
      </c>
    </row>
    <row r="2707" ht="15" customHeight="1" s="163">
      <c r="A2707" s="319">
        <f>'CEI TIA ALICE'!I16</f>
        <v/>
      </c>
      <c r="B2707" s="320">
        <f>'CEI TIA ALICE'!D16</f>
        <v/>
      </c>
    </row>
    <row r="2708" ht="15" customHeight="1" s="163">
      <c r="A2708" s="319">
        <f>'CEI TIA ALICE'!I17</f>
        <v/>
      </c>
      <c r="B2708" s="320">
        <f>'CEI TIA ALICE'!D17</f>
        <v/>
      </c>
    </row>
    <row r="2709" ht="15" customHeight="1" s="163">
      <c r="A2709" s="319">
        <f>'CEI TIA ALICE'!I18</f>
        <v/>
      </c>
      <c r="B2709" s="320">
        <f>'CEI TIA ALICE'!D18</f>
        <v/>
      </c>
    </row>
    <row r="2710" ht="15" customHeight="1" s="163">
      <c r="A2710" s="319">
        <f>'CEI TIA ALICE'!I19</f>
        <v/>
      </c>
      <c r="B2710" s="320">
        <f>'CEI TIA ALICE'!D19</f>
        <v/>
      </c>
    </row>
    <row r="2711" ht="15" customHeight="1" s="163">
      <c r="A2711" s="319">
        <f>'CEI TIA ALICE'!I20</f>
        <v/>
      </c>
      <c r="B2711" s="320">
        <f>'CEI TIA ALICE'!D20</f>
        <v/>
      </c>
    </row>
    <row r="2712" ht="15" customHeight="1" s="163">
      <c r="A2712" s="319">
        <f>'CEI TIA ALICE'!I21</f>
        <v/>
      </c>
      <c r="B2712" s="320">
        <f>'CEI TIA ALICE'!D21</f>
        <v/>
      </c>
    </row>
    <row r="2713" ht="15" customHeight="1" s="163">
      <c r="A2713" s="319">
        <f>'CEI TIA ALICE'!I22</f>
        <v/>
      </c>
      <c r="B2713" s="320">
        <f>'CEI TIA ALICE'!D22</f>
        <v/>
      </c>
    </row>
    <row r="2714" ht="15" customHeight="1" s="163">
      <c r="A2714" s="319">
        <f>'CEI TIA ALICE'!I23</f>
        <v/>
      </c>
      <c r="B2714" s="320">
        <f>'CEI TIA ALICE'!D23</f>
        <v/>
      </c>
    </row>
    <row r="2715" ht="15" customHeight="1" s="163">
      <c r="A2715" s="319">
        <f>'CEI TIA ALICE'!I24</f>
        <v/>
      </c>
      <c r="B2715" s="320">
        <f>'CEI TIA ALICE'!D24</f>
        <v/>
      </c>
    </row>
    <row r="2716" ht="15" customHeight="1" s="163">
      <c r="A2716" s="319">
        <f>'CEI TIA ALICE'!I25</f>
        <v/>
      </c>
      <c r="B2716" s="320">
        <f>'CEI TIA ALICE'!D25</f>
        <v/>
      </c>
    </row>
    <row r="2717" ht="15" customHeight="1" s="163">
      <c r="A2717" s="319">
        <f>'CEI TIA ALICE'!I26</f>
        <v/>
      </c>
      <c r="B2717" s="320">
        <f>'CEI TIA ALICE'!D26</f>
        <v/>
      </c>
    </row>
    <row r="2718" ht="15" customHeight="1" s="163">
      <c r="A2718" s="319">
        <f>'CEI TIA ALICE'!I27</f>
        <v/>
      </c>
      <c r="B2718" s="320">
        <f>'CEI TIA ALICE'!D27</f>
        <v/>
      </c>
    </row>
    <row r="2719" ht="15" customHeight="1" s="163">
      <c r="A2719" s="319">
        <f>'CEI TERRA SANTA'!I9</f>
        <v/>
      </c>
      <c r="B2719" s="320">
        <f>'CEI TERRA SANTA'!D9</f>
        <v/>
      </c>
    </row>
    <row r="2720" ht="15" customHeight="1" s="163">
      <c r="A2720" s="319">
        <f>'CEI TERRA SANTA'!I10</f>
        <v/>
      </c>
      <c r="B2720" s="320">
        <f>'CEI TERRA SANTA'!D10</f>
        <v/>
      </c>
    </row>
    <row r="2721" ht="15" customHeight="1" s="163">
      <c r="A2721" s="319">
        <f>'CEI TERRA SANTA'!I11</f>
        <v/>
      </c>
      <c r="B2721" s="320">
        <f>'CEI TERRA SANTA'!D11</f>
        <v/>
      </c>
    </row>
    <row r="2722" ht="15" customHeight="1" s="163">
      <c r="A2722" s="319">
        <f>'CEI TERRA SANTA'!I12</f>
        <v/>
      </c>
      <c r="B2722" s="320">
        <f>'CEI TERRA SANTA'!D12</f>
        <v/>
      </c>
    </row>
    <row r="2723" ht="15" customHeight="1" s="163">
      <c r="A2723" s="319">
        <f>'CEI TERRA SANTA'!I13</f>
        <v/>
      </c>
      <c r="B2723" s="320">
        <f>'CEI TERRA SANTA'!D13</f>
        <v/>
      </c>
    </row>
    <row r="2724" ht="15" customHeight="1" s="163">
      <c r="A2724" s="319">
        <f>'CEI TERRA SANTA'!I14</f>
        <v/>
      </c>
      <c r="B2724" s="320">
        <f>'CEI TERRA SANTA'!D14</f>
        <v/>
      </c>
    </row>
    <row r="2725" ht="15" customHeight="1" s="163">
      <c r="A2725" s="319">
        <f>'CEI TERRA SANTA'!I15</f>
        <v/>
      </c>
      <c r="B2725" s="320">
        <f>'CEI TERRA SANTA'!D15</f>
        <v/>
      </c>
    </row>
    <row r="2726" ht="15" customHeight="1" s="163">
      <c r="A2726" s="319">
        <f>'CEI TERRA SANTA'!I16</f>
        <v/>
      </c>
      <c r="B2726" s="320">
        <f>'CEI TERRA SANTA'!D16</f>
        <v/>
      </c>
    </row>
    <row r="2727" ht="15" customHeight="1" s="163">
      <c r="A2727" s="319">
        <f>'CEI TERRA SANTA'!I17</f>
        <v/>
      </c>
      <c r="B2727" s="320">
        <f>'CEI TERRA SANTA'!D17</f>
        <v/>
      </c>
    </row>
    <row r="2728" ht="15" customHeight="1" s="163">
      <c r="A2728" s="319">
        <f>'CEI TERRA SANTA'!I18</f>
        <v/>
      </c>
      <c r="B2728" s="320">
        <f>'CEI TERRA SANTA'!D18</f>
        <v/>
      </c>
    </row>
    <row r="2729" ht="15" customHeight="1" s="163">
      <c r="A2729" s="319">
        <f>'CEI TERRA SANTA'!I19</f>
        <v/>
      </c>
      <c r="B2729" s="320">
        <f>'CEI TERRA SANTA'!D19</f>
        <v/>
      </c>
    </row>
    <row r="2730" ht="15" customHeight="1" s="163">
      <c r="A2730" s="319">
        <f>'CEI TERRA SANTA'!I20</f>
        <v/>
      </c>
      <c r="B2730" s="320">
        <f>'CEI TERRA SANTA'!D20</f>
        <v/>
      </c>
    </row>
    <row r="2731" ht="15" customHeight="1" s="163">
      <c r="A2731" s="319">
        <f>'CEI TERRA SANTA'!I21</f>
        <v/>
      </c>
      <c r="B2731" s="320">
        <f>'CEI TERRA SANTA'!D21</f>
        <v/>
      </c>
    </row>
    <row r="2732" ht="15" customHeight="1" s="163">
      <c r="A2732" s="319">
        <f>'CEI TERRA SANTA'!I22</f>
        <v/>
      </c>
      <c r="B2732" s="320">
        <f>'CEI TERRA SANTA'!D22</f>
        <v/>
      </c>
    </row>
    <row r="2733" ht="15" customHeight="1" s="163">
      <c r="A2733" s="319">
        <f>'CEI TERRA SANTA'!I23</f>
        <v/>
      </c>
      <c r="B2733" s="320">
        <f>'CEI TERRA SANTA'!D23</f>
        <v/>
      </c>
    </row>
    <row r="2734" ht="15" customHeight="1" s="163">
      <c r="A2734" s="319">
        <f>'CEI TERRA SANTA'!I24</f>
        <v/>
      </c>
      <c r="B2734" s="320">
        <f>'CEI TERRA SANTA'!D24</f>
        <v/>
      </c>
    </row>
    <row r="2735" ht="15" customHeight="1" s="163">
      <c r="A2735" s="319">
        <f>'CEI TERRA SANTA'!I25</f>
        <v/>
      </c>
      <c r="B2735" s="320">
        <f>'CEI TERRA SANTA'!D25</f>
        <v/>
      </c>
    </row>
    <row r="2736" ht="15" customHeight="1" s="163">
      <c r="A2736" s="319">
        <f>'CEI TERRA SANTA'!I26</f>
        <v/>
      </c>
      <c r="B2736" s="320">
        <f>'CEI TERRA SANTA'!D26</f>
        <v/>
      </c>
    </row>
    <row r="2737" ht="15" customHeight="1" s="163">
      <c r="A2737" s="319">
        <f>'CEI TERRA SANTA'!I27</f>
        <v/>
      </c>
      <c r="B2737" s="320">
        <f>'CEI TERRA SANTA'!D27</f>
        <v/>
      </c>
    </row>
    <row r="2738" ht="15" customHeight="1" s="163">
      <c r="A2738" s="319">
        <f>'CEI JORGE ROLANDO DA SILVA'!I9</f>
        <v/>
      </c>
      <c r="B2738" s="320">
        <f>'CEI JORGE ROLANDO DA SILVA'!D9</f>
        <v/>
      </c>
    </row>
    <row r="2739" ht="15" customHeight="1" s="163">
      <c r="A2739" s="319">
        <f>'CEI JORGE ROLANDO DA SILVA'!I10</f>
        <v/>
      </c>
      <c r="B2739" s="320">
        <f>'CEI JORGE ROLANDO DA SILVA'!D10</f>
        <v/>
      </c>
    </row>
    <row r="2740" ht="15" customHeight="1" s="163">
      <c r="A2740" s="319">
        <f>'CEI JORGE ROLANDO DA SILVA'!I11</f>
        <v/>
      </c>
      <c r="B2740" s="320">
        <f>'CEI JORGE ROLANDO DA SILVA'!D11</f>
        <v/>
      </c>
    </row>
    <row r="2741" ht="15" customHeight="1" s="163">
      <c r="A2741" s="319">
        <f>'CEI JORGE ROLANDO DA SILVA'!I12</f>
        <v/>
      </c>
      <c r="B2741" s="320">
        <f>'CEI JORGE ROLANDO DA SILVA'!D12</f>
        <v/>
      </c>
    </row>
    <row r="2742" ht="15" customHeight="1" s="163">
      <c r="A2742" s="319">
        <f>'CEI JORGE ROLANDO DA SILVA'!I13</f>
        <v/>
      </c>
      <c r="B2742" s="320">
        <f>'CEI JORGE ROLANDO DA SILVA'!D13</f>
        <v/>
      </c>
    </row>
    <row r="2743" ht="15" customHeight="1" s="163">
      <c r="A2743" s="319">
        <f>'CEI JORGE ROLANDO DA SILVA'!I14</f>
        <v/>
      </c>
      <c r="B2743" s="320">
        <f>'CEI JORGE ROLANDO DA SILVA'!D14</f>
        <v/>
      </c>
    </row>
    <row r="2744" ht="15" customHeight="1" s="163">
      <c r="A2744" s="319">
        <f>'CEI JORGE ROLANDO DA SILVA'!I15</f>
        <v/>
      </c>
      <c r="B2744" s="320">
        <f>'CEI JORGE ROLANDO DA SILVA'!D15</f>
        <v/>
      </c>
    </row>
    <row r="2745" ht="15" customHeight="1" s="163">
      <c r="A2745" s="319">
        <f>'CEI JORGE ROLANDO DA SILVA'!I16</f>
        <v/>
      </c>
      <c r="B2745" s="320">
        <f>'CEI JORGE ROLANDO DA SILVA'!D16</f>
        <v/>
      </c>
    </row>
    <row r="2746" ht="15" customHeight="1" s="163">
      <c r="A2746" s="319">
        <f>'CEI JORGE ROLANDO DA SILVA'!I17</f>
        <v/>
      </c>
      <c r="B2746" s="320">
        <f>'CEI JORGE ROLANDO DA SILVA'!D17</f>
        <v/>
      </c>
    </row>
    <row r="2747" ht="15" customHeight="1" s="163">
      <c r="A2747" s="319">
        <f>'CEI JORGE ROLANDO DA SILVA'!I18</f>
        <v/>
      </c>
      <c r="B2747" s="320">
        <f>'CEI JORGE ROLANDO DA SILVA'!D18</f>
        <v/>
      </c>
    </row>
    <row r="2748" ht="15" customHeight="1" s="163">
      <c r="A2748" s="319">
        <f>'CEI JORGE ROLANDO DA SILVA'!I19</f>
        <v/>
      </c>
      <c r="B2748" s="320">
        <f>'CEI JORGE ROLANDO DA SILVA'!D19</f>
        <v/>
      </c>
    </row>
    <row r="2749" ht="15" customHeight="1" s="163">
      <c r="A2749" s="319">
        <f>'CEI JORGE ROLANDO DA SILVA'!I20</f>
        <v/>
      </c>
      <c r="B2749" s="320">
        <f>'CEI JORGE ROLANDO DA SILVA'!D20</f>
        <v/>
      </c>
    </row>
    <row r="2750" ht="15" customHeight="1" s="163">
      <c r="A2750" s="319">
        <f>'CEI JORGE ROLANDO DA SILVA'!I21</f>
        <v/>
      </c>
      <c r="B2750" s="320">
        <f>'CEI JORGE ROLANDO DA SILVA'!D21</f>
        <v/>
      </c>
    </row>
    <row r="2751" ht="15" customHeight="1" s="163">
      <c r="A2751" s="319">
        <f>'CEI JORGE ROLANDO DA SILVA'!I22</f>
        <v/>
      </c>
      <c r="B2751" s="320">
        <f>'CEI JORGE ROLANDO DA SILVA'!D22</f>
        <v/>
      </c>
    </row>
    <row r="2752" ht="15" customHeight="1" s="163">
      <c r="A2752" s="319">
        <f>'CEI JORGE ROLANDO DA SILVA'!I23</f>
        <v/>
      </c>
      <c r="B2752" s="320">
        <f>'CEI JORGE ROLANDO DA SILVA'!D23</f>
        <v/>
      </c>
    </row>
    <row r="2753" ht="15" customHeight="1" s="163">
      <c r="A2753" s="319">
        <f>'CEI JORGE ROLANDO DA SILVA'!I24</f>
        <v/>
      </c>
      <c r="B2753" s="320">
        <f>'CEI JORGE ROLANDO DA SILVA'!D24</f>
        <v/>
      </c>
    </row>
    <row r="2754" ht="15" customHeight="1" s="163">
      <c r="A2754" s="319">
        <f>'CEI JORGE ROLANDO DA SILVA'!I25</f>
        <v/>
      </c>
      <c r="B2754" s="320">
        <f>'CEI JORGE ROLANDO DA SILVA'!D25</f>
        <v/>
      </c>
    </row>
    <row r="2755" ht="15" customHeight="1" s="163">
      <c r="A2755" s="319">
        <f>'CEI JORGE ROLANDO DA SILVA'!I26</f>
        <v/>
      </c>
      <c r="B2755" s="320">
        <f>'CEI JORGE ROLANDO DA SILVA'!D26</f>
        <v/>
      </c>
    </row>
    <row r="2756" ht="15" customHeight="1" s="163">
      <c r="A2756" s="319">
        <f>'CEI JORGE ROLANDO DA SILVA'!I27</f>
        <v/>
      </c>
      <c r="B2756" s="320">
        <f>'CEI JORGE ROLANDO DA SILVA'!D27</f>
        <v/>
      </c>
    </row>
    <row r="2757" ht="15" customHeight="1" s="163">
      <c r="A2757" s="319">
        <f>'CEI CARANGOLA'!I9</f>
        <v/>
      </c>
      <c r="B2757" s="320">
        <f>'CEI CARANGOLA'!D9</f>
        <v/>
      </c>
    </row>
    <row r="2758" ht="15" customHeight="1" s="163">
      <c r="A2758" s="319">
        <f>'CEI CARANGOLA'!I10</f>
        <v/>
      </c>
      <c r="B2758" s="320">
        <f>'CEI CARANGOLA'!D10</f>
        <v/>
      </c>
    </row>
    <row r="2759" ht="15" customHeight="1" s="163">
      <c r="A2759" s="319">
        <f>'CEI CARANGOLA'!I11</f>
        <v/>
      </c>
      <c r="B2759" s="320">
        <f>'CEI CARANGOLA'!D11</f>
        <v/>
      </c>
    </row>
    <row r="2760" ht="15" customHeight="1" s="163">
      <c r="A2760" s="319">
        <f>'CEI CARANGOLA'!I12</f>
        <v/>
      </c>
      <c r="B2760" s="320">
        <f>'CEI CARANGOLA'!D12</f>
        <v/>
      </c>
    </row>
    <row r="2761" ht="15" customHeight="1" s="163">
      <c r="A2761" s="319">
        <f>'CEI CARANGOLA'!I13</f>
        <v/>
      </c>
      <c r="B2761" s="320">
        <f>'CEI CARANGOLA'!D13</f>
        <v/>
      </c>
    </row>
    <row r="2762" ht="15" customHeight="1" s="163">
      <c r="A2762" s="319">
        <f>'CEI CARANGOLA'!I14</f>
        <v/>
      </c>
      <c r="B2762" s="320">
        <f>'CEI CARANGOLA'!D14</f>
        <v/>
      </c>
    </row>
    <row r="2763" ht="15" customHeight="1" s="163">
      <c r="A2763" s="319">
        <f>'CEI CARANGOLA'!I15</f>
        <v/>
      </c>
      <c r="B2763" s="320">
        <f>'CEI CARANGOLA'!D15</f>
        <v/>
      </c>
    </row>
    <row r="2764" ht="15" customHeight="1" s="163">
      <c r="A2764" s="319">
        <f>'CEI CARANGOLA'!I16</f>
        <v/>
      </c>
      <c r="B2764" s="320">
        <f>'CEI CARANGOLA'!D16</f>
        <v/>
      </c>
    </row>
    <row r="2765" ht="15" customHeight="1" s="163">
      <c r="A2765" s="319">
        <f>'CEI CARANGOLA'!I17</f>
        <v/>
      </c>
      <c r="B2765" s="320">
        <f>'CEI CARANGOLA'!D17</f>
        <v/>
      </c>
    </row>
    <row r="2766" ht="15" customHeight="1" s="163">
      <c r="A2766" s="319">
        <f>'CEI CARANGOLA'!I18</f>
        <v/>
      </c>
      <c r="B2766" s="320">
        <f>'CEI CARANGOLA'!D18</f>
        <v/>
      </c>
    </row>
    <row r="2767" ht="15" customHeight="1" s="163">
      <c r="A2767" s="319">
        <f>'CEI CARANGOLA'!I19</f>
        <v/>
      </c>
      <c r="B2767" s="320">
        <f>'CEI CARANGOLA'!D19</f>
        <v/>
      </c>
    </row>
    <row r="2768" ht="15" customHeight="1" s="163">
      <c r="A2768" s="319">
        <f>'CEI CARANGOLA'!I20</f>
        <v/>
      </c>
      <c r="B2768" s="320">
        <f>'CEI CARANGOLA'!D20</f>
        <v/>
      </c>
    </row>
    <row r="2769" ht="15" customHeight="1" s="163">
      <c r="A2769" s="319">
        <f>'CEI CARANGOLA'!I21</f>
        <v/>
      </c>
      <c r="B2769" s="320">
        <f>'CEI CARANGOLA'!D21</f>
        <v/>
      </c>
    </row>
    <row r="2770" ht="15" customHeight="1" s="163">
      <c r="A2770" s="319">
        <f>'CEI CARANGOLA'!I22</f>
        <v/>
      </c>
      <c r="B2770" s="320">
        <f>'CEI CARANGOLA'!D22</f>
        <v/>
      </c>
    </row>
    <row r="2771" ht="15" customHeight="1" s="163">
      <c r="A2771" s="319">
        <f>'CEI CARANGOLA'!I23</f>
        <v/>
      </c>
      <c r="B2771" s="320">
        <f>'CEI CARANGOLA'!D23</f>
        <v/>
      </c>
    </row>
    <row r="2772" ht="15" customHeight="1" s="163">
      <c r="A2772" s="319">
        <f>'CEI CARANGOLA'!I24</f>
        <v/>
      </c>
      <c r="B2772" s="320">
        <f>'CEI CARANGOLA'!D24</f>
        <v/>
      </c>
    </row>
    <row r="2773" ht="15" customHeight="1" s="163">
      <c r="A2773" s="319">
        <f>'CEI CARANGOLA'!I25</f>
        <v/>
      </c>
      <c r="B2773" s="320">
        <f>'CEI CARANGOLA'!D25</f>
        <v/>
      </c>
    </row>
    <row r="2774" ht="15" customHeight="1" s="163">
      <c r="A2774" s="319">
        <f>'CEI CARANGOLA'!I26</f>
        <v/>
      </c>
      <c r="B2774" s="320">
        <f>'CEI CARANGOLA'!D26</f>
        <v/>
      </c>
    </row>
    <row r="2775" ht="15" customHeight="1" s="163">
      <c r="A2775" s="319">
        <f>'CEI CARANGOLA'!I27</f>
        <v/>
      </c>
      <c r="B2775" s="320">
        <f>'CEI CARANGOLA'!D27</f>
        <v/>
      </c>
    </row>
    <row r="2776" ht="15" customHeight="1" s="163">
      <c r="A2776" s="319">
        <f>'CEI CÉLIA LÔBO PAULO'!I9</f>
        <v/>
      </c>
      <c r="B2776" s="320">
        <f>'CEI CÉLIA LÔBO PAULO'!D9</f>
        <v/>
      </c>
    </row>
    <row r="2777" ht="15" customHeight="1" s="163">
      <c r="A2777" s="319">
        <f>'CEI CÉLIA LÔBO PAULO'!I10</f>
        <v/>
      </c>
      <c r="B2777" s="320">
        <f>'CEI CÉLIA LÔBO PAULO'!D10</f>
        <v/>
      </c>
    </row>
    <row r="2778" ht="15" customHeight="1" s="163">
      <c r="A2778" s="319">
        <f>'CEI CÉLIA LÔBO PAULO'!I11</f>
        <v/>
      </c>
      <c r="B2778" s="320">
        <f>'CEI CÉLIA LÔBO PAULO'!D11</f>
        <v/>
      </c>
    </row>
    <row r="2779" ht="15" customHeight="1" s="163">
      <c r="A2779" s="319">
        <f>'CEI CÉLIA LÔBO PAULO'!I12</f>
        <v/>
      </c>
      <c r="B2779" s="320">
        <f>'CEI CÉLIA LÔBO PAULO'!D12</f>
        <v/>
      </c>
    </row>
    <row r="2780" ht="15" customHeight="1" s="163">
      <c r="A2780" s="319">
        <f>'CEI CÉLIA LÔBO PAULO'!I13</f>
        <v/>
      </c>
      <c r="B2780" s="320">
        <f>'CEI CÉLIA LÔBO PAULO'!D13</f>
        <v/>
      </c>
    </row>
    <row r="2781" ht="15" customHeight="1" s="163">
      <c r="A2781" s="319">
        <f>'CEI CÉLIA LÔBO PAULO'!I14</f>
        <v/>
      </c>
      <c r="B2781" s="320">
        <f>'CEI CÉLIA LÔBO PAULO'!D14</f>
        <v/>
      </c>
    </row>
    <row r="2782" ht="15" customHeight="1" s="163">
      <c r="A2782" s="319">
        <f>'CEI CÉLIA LÔBO PAULO'!I15</f>
        <v/>
      </c>
      <c r="B2782" s="320">
        <f>'CEI CÉLIA LÔBO PAULO'!D15</f>
        <v/>
      </c>
    </row>
    <row r="2783" ht="15" customHeight="1" s="163">
      <c r="A2783" s="319">
        <f>'CEI CÉLIA LÔBO PAULO'!I16</f>
        <v/>
      </c>
      <c r="B2783" s="320">
        <f>'CEI CÉLIA LÔBO PAULO'!D16</f>
        <v/>
      </c>
    </row>
    <row r="2784" ht="15" customHeight="1" s="163">
      <c r="A2784" s="319">
        <f>'CEI CÉLIA LÔBO PAULO'!I17</f>
        <v/>
      </c>
      <c r="B2784" s="320">
        <f>'CEI CÉLIA LÔBO PAULO'!D17</f>
        <v/>
      </c>
    </row>
    <row r="2785" ht="15" customHeight="1" s="163">
      <c r="A2785" s="319">
        <f>'CEI CÉLIA LÔBO PAULO'!I18</f>
        <v/>
      </c>
      <c r="B2785" s="320">
        <f>'CEI CÉLIA LÔBO PAULO'!D18</f>
        <v/>
      </c>
    </row>
    <row r="2786" ht="15" customHeight="1" s="163">
      <c r="A2786" s="319">
        <f>'CEI CÉLIA LÔBO PAULO'!I19</f>
        <v/>
      </c>
      <c r="B2786" s="320">
        <f>'CEI CÉLIA LÔBO PAULO'!D19</f>
        <v/>
      </c>
    </row>
    <row r="2787" ht="15" customHeight="1" s="163">
      <c r="A2787" s="319">
        <f>'CEI CÉLIA LÔBO PAULO'!I20</f>
        <v/>
      </c>
      <c r="B2787" s="320">
        <f>'CEI CÉLIA LÔBO PAULO'!D20</f>
        <v/>
      </c>
    </row>
    <row r="2788" ht="15" customHeight="1" s="163">
      <c r="A2788" s="319">
        <f>'CEI CÉLIA LÔBO PAULO'!I21</f>
        <v/>
      </c>
      <c r="B2788" s="320">
        <f>'CEI CÉLIA LÔBO PAULO'!D21</f>
        <v/>
      </c>
    </row>
    <row r="2789" ht="15" customHeight="1" s="163">
      <c r="A2789" s="319">
        <f>'CEI CÉLIA LÔBO PAULO'!I22</f>
        <v/>
      </c>
      <c r="B2789" s="320">
        <f>'CEI CÉLIA LÔBO PAULO'!D22</f>
        <v/>
      </c>
    </row>
    <row r="2790" ht="15" customHeight="1" s="163">
      <c r="A2790" s="319">
        <f>'CEI CÉLIA LÔBO PAULO'!I23</f>
        <v/>
      </c>
      <c r="B2790" s="320">
        <f>'CEI CÉLIA LÔBO PAULO'!D23</f>
        <v/>
      </c>
    </row>
    <row r="2791" ht="15" customHeight="1" s="163">
      <c r="A2791" s="319">
        <f>'CEI CÉLIA LÔBO PAULO'!I24</f>
        <v/>
      </c>
      <c r="B2791" s="320">
        <f>'CEI CÉLIA LÔBO PAULO'!D24</f>
        <v/>
      </c>
    </row>
    <row r="2792" ht="15" customHeight="1" s="163">
      <c r="A2792" s="319">
        <f>'CEI CÉLIA LÔBO PAULO'!I25</f>
        <v/>
      </c>
      <c r="B2792" s="320">
        <f>'CEI CÉLIA LÔBO PAULO'!D25</f>
        <v/>
      </c>
    </row>
    <row r="2793" ht="15" customHeight="1" s="163">
      <c r="A2793" s="319">
        <f>'CEI CÉLIA LÔBO PAULO'!I26</f>
        <v/>
      </c>
      <c r="B2793" s="320">
        <f>'CEI CÉLIA LÔBO PAULO'!D26</f>
        <v/>
      </c>
    </row>
    <row r="2794" ht="15" customHeight="1" s="163">
      <c r="A2794" s="319">
        <f>'CEI CÉLIA LÔBO PAULO'!I27</f>
        <v/>
      </c>
      <c r="B2794" s="320">
        <f>'CEI CÉLIA LÔBO PAULO'!D27</f>
        <v/>
      </c>
    </row>
    <row r="2795" ht="15" customHeight="1" s="163">
      <c r="A2795" s="319">
        <f>'CEI LIONS CLUBE DE PETRÓPOLIS'!I9</f>
        <v/>
      </c>
      <c r="B2795" s="320">
        <f>'CEI LIONS CLUBE DE PETRÓPOLIS'!D9</f>
        <v/>
      </c>
    </row>
    <row r="2796" ht="15" customHeight="1" s="163">
      <c r="A2796" s="319">
        <f>'CEI LIONS CLUBE DE PETRÓPOLIS'!I10</f>
        <v/>
      </c>
      <c r="B2796" s="320">
        <f>'CEI LIONS CLUBE DE PETRÓPOLIS'!D10</f>
        <v/>
      </c>
    </row>
    <row r="2797" ht="15" customHeight="1" s="163">
      <c r="A2797" s="319">
        <f>'CEI LIONS CLUBE DE PETRÓPOLIS'!I11</f>
        <v/>
      </c>
      <c r="B2797" s="320">
        <f>'CEI LIONS CLUBE DE PETRÓPOLIS'!D11</f>
        <v/>
      </c>
    </row>
    <row r="2798" ht="15" customHeight="1" s="163">
      <c r="A2798" s="319">
        <f>'CEI LIONS CLUBE DE PETRÓPOLIS'!I12</f>
        <v/>
      </c>
      <c r="B2798" s="320">
        <f>'CEI LIONS CLUBE DE PETRÓPOLIS'!D12</f>
        <v/>
      </c>
    </row>
    <row r="2799" ht="15" customHeight="1" s="163">
      <c r="A2799" s="319">
        <f>'CEI LIONS CLUBE DE PETRÓPOLIS'!I13</f>
        <v/>
      </c>
      <c r="B2799" s="320">
        <f>'CEI LIONS CLUBE DE PETRÓPOLIS'!D13</f>
        <v/>
      </c>
    </row>
    <row r="2800" ht="15" customHeight="1" s="163">
      <c r="A2800" s="319">
        <f>'CEI LIONS CLUBE DE PETRÓPOLIS'!I14</f>
        <v/>
      </c>
      <c r="B2800" s="320">
        <f>'CEI LIONS CLUBE DE PETRÓPOLIS'!D14</f>
        <v/>
      </c>
    </row>
    <row r="2801" ht="15" customHeight="1" s="163">
      <c r="A2801" s="319">
        <f>'CEI LIONS CLUBE DE PETRÓPOLIS'!I15</f>
        <v/>
      </c>
      <c r="B2801" s="320">
        <f>'CEI LIONS CLUBE DE PETRÓPOLIS'!D15</f>
        <v/>
      </c>
    </row>
    <row r="2802" ht="15" customHeight="1" s="163">
      <c r="A2802" s="319">
        <f>'CEI LIONS CLUBE DE PETRÓPOLIS'!I16</f>
        <v/>
      </c>
      <c r="B2802" s="320">
        <f>'CEI LIONS CLUBE DE PETRÓPOLIS'!D16</f>
        <v/>
      </c>
    </row>
    <row r="2803" ht="15" customHeight="1" s="163">
      <c r="A2803" s="319">
        <f>'CEI LIONS CLUBE DE PETRÓPOLIS'!I17</f>
        <v/>
      </c>
      <c r="B2803" s="320">
        <f>'CEI LIONS CLUBE DE PETRÓPOLIS'!D17</f>
        <v/>
      </c>
    </row>
    <row r="2804" ht="15" customHeight="1" s="163">
      <c r="A2804" s="319">
        <f>'CEI LIONS CLUBE DE PETRÓPOLIS'!I18</f>
        <v/>
      </c>
      <c r="B2804" s="320">
        <f>'CEI LIONS CLUBE DE PETRÓPOLIS'!D18</f>
        <v/>
      </c>
    </row>
    <row r="2805" ht="15" customHeight="1" s="163">
      <c r="A2805" s="319">
        <f>'CEI LIONS CLUBE DE PETRÓPOLIS'!I19</f>
        <v/>
      </c>
      <c r="B2805" s="320">
        <f>'CEI LIONS CLUBE DE PETRÓPOLIS'!D19</f>
        <v/>
      </c>
    </row>
    <row r="2806" ht="15" customHeight="1" s="163">
      <c r="A2806" s="319">
        <f>'CEI LIONS CLUBE DE PETRÓPOLIS'!I20</f>
        <v/>
      </c>
      <c r="B2806" s="320">
        <f>'CEI LIONS CLUBE DE PETRÓPOLIS'!D20</f>
        <v/>
      </c>
    </row>
    <row r="2807" ht="15" customHeight="1" s="163">
      <c r="A2807" s="319">
        <f>'CEI LIONS CLUBE DE PETRÓPOLIS'!I21</f>
        <v/>
      </c>
      <c r="B2807" s="320">
        <f>'CEI LIONS CLUBE DE PETRÓPOLIS'!D21</f>
        <v/>
      </c>
    </row>
    <row r="2808" ht="15" customHeight="1" s="163">
      <c r="A2808" s="319">
        <f>'CEI LIONS CLUBE DE PETRÓPOLIS'!I22</f>
        <v/>
      </c>
      <c r="B2808" s="320">
        <f>'CEI LIONS CLUBE DE PETRÓPOLIS'!D22</f>
        <v/>
      </c>
    </row>
    <row r="2809" ht="15" customHeight="1" s="163">
      <c r="A2809" s="319">
        <f>'CEI LIONS CLUBE DE PETRÓPOLIS'!I23</f>
        <v/>
      </c>
      <c r="B2809" s="320">
        <f>'CEI LIONS CLUBE DE PETRÓPOLIS'!D23</f>
        <v/>
      </c>
    </row>
    <row r="2810" ht="15" customHeight="1" s="163">
      <c r="A2810" s="319">
        <f>'CEI LIONS CLUBE DE PETRÓPOLIS'!I24</f>
        <v/>
      </c>
      <c r="B2810" s="320">
        <f>'CEI LIONS CLUBE DE PETRÓPOLIS'!D24</f>
        <v/>
      </c>
    </row>
    <row r="2811" ht="15" customHeight="1" s="163">
      <c r="A2811" s="319">
        <f>'CEI LIONS CLUBE DE PETRÓPOLIS'!I25</f>
        <v/>
      </c>
      <c r="B2811" s="320">
        <f>'CEI LIONS CLUBE DE PETRÓPOLIS'!D25</f>
        <v/>
      </c>
    </row>
    <row r="2812" ht="15" customHeight="1" s="163">
      <c r="A2812" s="319">
        <f>'CEI LIONS CLUBE DE PETRÓPOLIS'!I26</f>
        <v/>
      </c>
      <c r="B2812" s="320">
        <f>'CEI LIONS CLUBE DE PETRÓPOLIS'!D26</f>
        <v/>
      </c>
    </row>
    <row r="2813" ht="15" customHeight="1" s="163">
      <c r="A2813" s="319">
        <f>'CEI LIONS CLUBE DE PETRÓPOLIS'!I27</f>
        <v/>
      </c>
      <c r="B2813" s="320">
        <f>'CEI LIONS CLUBE DE PETRÓPOLIS'!D27</f>
        <v/>
      </c>
    </row>
    <row r="2814" ht="15" customHeight="1" s="163">
      <c r="A2814" s="319">
        <f>'CEI PROFª GRAÇA COSTA'!I9</f>
        <v/>
      </c>
      <c r="B2814" s="320">
        <f>'CEI PROFª GRAÇA COSTA'!D9</f>
        <v/>
      </c>
    </row>
    <row r="2815" ht="15" customHeight="1" s="163">
      <c r="A2815" s="319">
        <f>'CEI PROFª GRAÇA COSTA'!I10</f>
        <v/>
      </c>
      <c r="B2815" s="320">
        <f>'CEI PROFª GRAÇA COSTA'!D10</f>
        <v/>
      </c>
    </row>
    <row r="2816" ht="15" customHeight="1" s="163">
      <c r="A2816" s="319">
        <f>'CEI PROFª GRAÇA COSTA'!I11</f>
        <v/>
      </c>
      <c r="B2816" s="320">
        <f>'CEI PROFª GRAÇA COSTA'!D11</f>
        <v/>
      </c>
    </row>
    <row r="2817" ht="15" customHeight="1" s="163">
      <c r="A2817" s="319">
        <f>'CEI PROFª GRAÇA COSTA'!I12</f>
        <v/>
      </c>
      <c r="B2817" s="320">
        <f>'CEI PROFª GRAÇA COSTA'!D12</f>
        <v/>
      </c>
    </row>
    <row r="2818" ht="15" customHeight="1" s="163">
      <c r="A2818" s="319">
        <f>'CEI PROFª GRAÇA COSTA'!I13</f>
        <v/>
      </c>
      <c r="B2818" s="320">
        <f>'CEI PROFª GRAÇA COSTA'!D13</f>
        <v/>
      </c>
    </row>
    <row r="2819" ht="15" customHeight="1" s="163">
      <c r="A2819" s="319">
        <f>'CEI PROFª GRAÇA COSTA'!I14</f>
        <v/>
      </c>
      <c r="B2819" s="320">
        <f>'CEI PROFª GRAÇA COSTA'!D14</f>
        <v/>
      </c>
    </row>
    <row r="2820" ht="15" customHeight="1" s="163">
      <c r="A2820" s="319">
        <f>'CEI PROFª GRAÇA COSTA'!I15</f>
        <v/>
      </c>
      <c r="B2820" s="320">
        <f>'CEI PROFª GRAÇA COSTA'!D15</f>
        <v/>
      </c>
    </row>
    <row r="2821" ht="15" customHeight="1" s="163">
      <c r="A2821" s="319">
        <f>'CEI PROFª GRAÇA COSTA'!I16</f>
        <v/>
      </c>
      <c r="B2821" s="320">
        <f>'CEI PROFª GRAÇA COSTA'!D16</f>
        <v/>
      </c>
    </row>
    <row r="2822" ht="15" customHeight="1" s="163">
      <c r="A2822" s="319">
        <f>'CEI PROFª GRAÇA COSTA'!I17</f>
        <v/>
      </c>
      <c r="B2822" s="320">
        <f>'CEI PROFª GRAÇA COSTA'!D17</f>
        <v/>
      </c>
    </row>
    <row r="2823" ht="15" customHeight="1" s="163">
      <c r="A2823" s="319">
        <f>'CEI PROFª GRAÇA COSTA'!I18</f>
        <v/>
      </c>
      <c r="B2823" s="320">
        <f>'CEI PROFª GRAÇA COSTA'!D18</f>
        <v/>
      </c>
    </row>
    <row r="2824" ht="15" customHeight="1" s="163">
      <c r="A2824" s="319">
        <f>'CEI PROFª GRAÇA COSTA'!I19</f>
        <v/>
      </c>
      <c r="B2824" s="320">
        <f>'CEI PROFª GRAÇA COSTA'!D19</f>
        <v/>
      </c>
    </row>
    <row r="2825" ht="15" customHeight="1" s="163">
      <c r="A2825" s="319">
        <f>'CEI PROFª GRAÇA COSTA'!I20</f>
        <v/>
      </c>
      <c r="B2825" s="320">
        <f>'CEI PROFª GRAÇA COSTA'!D20</f>
        <v/>
      </c>
    </row>
    <row r="2826" ht="15" customHeight="1" s="163">
      <c r="A2826" s="319">
        <f>'CEI PROFª GRAÇA COSTA'!I21</f>
        <v/>
      </c>
      <c r="B2826" s="320">
        <f>'CEI PROFª GRAÇA COSTA'!D21</f>
        <v/>
      </c>
    </row>
    <row r="2827" ht="15" customHeight="1" s="163">
      <c r="A2827" s="319">
        <f>'CEI PROFª GRAÇA COSTA'!I22</f>
        <v/>
      </c>
      <c r="B2827" s="320">
        <f>'CEI PROFª GRAÇA COSTA'!D22</f>
        <v/>
      </c>
    </row>
    <row r="2828" ht="15" customHeight="1" s="163">
      <c r="A2828" s="319">
        <f>'CEI PROFª GRAÇA COSTA'!I23</f>
        <v/>
      </c>
      <c r="B2828" s="320">
        <f>'CEI PROFª GRAÇA COSTA'!D23</f>
        <v/>
      </c>
    </row>
    <row r="2829" ht="15" customHeight="1" s="163">
      <c r="A2829" s="319">
        <f>'CEI PROFª GRAÇA COSTA'!I24</f>
        <v/>
      </c>
      <c r="B2829" s="320">
        <f>'CEI PROFª GRAÇA COSTA'!D24</f>
        <v/>
      </c>
    </row>
    <row r="2830" ht="15" customHeight="1" s="163">
      <c r="A2830" s="319">
        <f>'CEI PROFª GRAÇA COSTA'!I25</f>
        <v/>
      </c>
      <c r="B2830" s="320">
        <f>'CEI PROFª GRAÇA COSTA'!D25</f>
        <v/>
      </c>
    </row>
    <row r="2831" ht="15" customHeight="1" s="163">
      <c r="A2831" s="319">
        <f>'CEI PROFª GRAÇA COSTA'!I26</f>
        <v/>
      </c>
      <c r="B2831" s="320">
        <f>'CEI PROFª GRAÇA COSTA'!D26</f>
        <v/>
      </c>
    </row>
    <row r="2832" ht="15" customHeight="1" s="163">
      <c r="A2832" s="319">
        <f>'CEI PROFª GRAÇA COSTA'!I27</f>
        <v/>
      </c>
      <c r="B2832" s="320">
        <f>'CEI PROFª GRAÇA COSTA'!D27</f>
        <v/>
      </c>
    </row>
    <row r="2833" ht="15" customHeight="1" s="163">
      <c r="A2833" s="319">
        <f>'CEI ANGELA MARIA DA CONCEIÇÃO S'!I9</f>
        <v/>
      </c>
      <c r="B2833" s="320">
        <f>'CEI ANGELA MARIA DA CONCEIÇÃO S'!D9</f>
        <v/>
      </c>
    </row>
    <row r="2834" ht="15" customHeight="1" s="163">
      <c r="A2834" s="319">
        <f>'CEI ANGELA MARIA DA CONCEIÇÃO S'!I10</f>
        <v/>
      </c>
      <c r="B2834" s="320">
        <f>'CEI ANGELA MARIA DA CONCEIÇÃO S'!D10</f>
        <v/>
      </c>
    </row>
    <row r="2835" ht="15" customHeight="1" s="163">
      <c r="A2835" s="319">
        <f>'CEI ANGELA MARIA DA CONCEIÇÃO S'!I11</f>
        <v/>
      </c>
      <c r="B2835" s="320">
        <f>'CEI ANGELA MARIA DA CONCEIÇÃO S'!D11</f>
        <v/>
      </c>
    </row>
    <row r="2836" ht="15" customHeight="1" s="163">
      <c r="A2836" s="319">
        <f>'CEI ANGELA MARIA DA CONCEIÇÃO S'!I12</f>
        <v/>
      </c>
      <c r="B2836" s="320">
        <f>'CEI ANGELA MARIA DA CONCEIÇÃO S'!D12</f>
        <v/>
      </c>
    </row>
    <row r="2837" ht="15" customHeight="1" s="163">
      <c r="A2837" s="319">
        <f>'CEI ANGELA MARIA DA CONCEIÇÃO S'!I13</f>
        <v/>
      </c>
      <c r="B2837" s="320">
        <f>'CEI ANGELA MARIA DA CONCEIÇÃO S'!D13</f>
        <v/>
      </c>
    </row>
    <row r="2838" ht="15" customHeight="1" s="163">
      <c r="A2838" s="319">
        <f>'CEI ANGELA MARIA DA CONCEIÇÃO S'!I14</f>
        <v/>
      </c>
      <c r="B2838" s="320">
        <f>'CEI ANGELA MARIA DA CONCEIÇÃO S'!D14</f>
        <v/>
      </c>
    </row>
    <row r="2839" ht="15" customHeight="1" s="163">
      <c r="A2839" s="319">
        <f>'CEI ANGELA MARIA DA CONCEIÇÃO S'!I15</f>
        <v/>
      </c>
      <c r="B2839" s="320">
        <f>'CEI ANGELA MARIA DA CONCEIÇÃO S'!D15</f>
        <v/>
      </c>
    </row>
    <row r="2840" ht="15" customHeight="1" s="163">
      <c r="A2840" s="319">
        <f>'CEI ANGELA MARIA DA CONCEIÇÃO S'!I16</f>
        <v/>
      </c>
      <c r="B2840" s="320">
        <f>'CEI ANGELA MARIA DA CONCEIÇÃO S'!D16</f>
        <v/>
      </c>
    </row>
    <row r="2841" ht="15" customHeight="1" s="163">
      <c r="A2841" s="319">
        <f>'CEI ANGELA MARIA DA CONCEIÇÃO S'!I17</f>
        <v/>
      </c>
      <c r="B2841" s="320">
        <f>'CEI ANGELA MARIA DA CONCEIÇÃO S'!D17</f>
        <v/>
      </c>
    </row>
    <row r="2842" ht="15" customHeight="1" s="163">
      <c r="A2842" s="319">
        <f>'CEI ANGELA MARIA DA CONCEIÇÃO S'!I18</f>
        <v/>
      </c>
      <c r="B2842" s="320">
        <f>'CEI ANGELA MARIA DA CONCEIÇÃO S'!D18</f>
        <v/>
      </c>
    </row>
    <row r="2843" ht="15" customHeight="1" s="163">
      <c r="A2843" s="319">
        <f>'CEI ANGELA MARIA DA CONCEIÇÃO S'!I19</f>
        <v/>
      </c>
      <c r="B2843" s="320">
        <f>'CEI ANGELA MARIA DA CONCEIÇÃO S'!D19</f>
        <v/>
      </c>
    </row>
    <row r="2844" ht="15" customHeight="1" s="163">
      <c r="A2844" s="319">
        <f>'CEI ANGELA MARIA DA CONCEIÇÃO S'!I20</f>
        <v/>
      </c>
      <c r="B2844" s="320">
        <f>'CEI ANGELA MARIA DA CONCEIÇÃO S'!D20</f>
        <v/>
      </c>
    </row>
    <row r="2845" ht="15" customHeight="1" s="163">
      <c r="A2845" s="319">
        <f>'CEI ANGELA MARIA DA CONCEIÇÃO S'!I21</f>
        <v/>
      </c>
      <c r="B2845" s="320">
        <f>'CEI ANGELA MARIA DA CONCEIÇÃO S'!D21</f>
        <v/>
      </c>
    </row>
    <row r="2846" ht="15" customHeight="1" s="163">
      <c r="A2846" s="319">
        <f>'CEI ANGELA MARIA DA CONCEIÇÃO S'!I22</f>
        <v/>
      </c>
      <c r="B2846" s="320">
        <f>'CEI ANGELA MARIA DA CONCEIÇÃO S'!D22</f>
        <v/>
      </c>
    </row>
    <row r="2847" ht="15" customHeight="1" s="163">
      <c r="A2847" s="319">
        <f>'CEI ANGELA MARIA DA CONCEIÇÃO S'!I23</f>
        <v/>
      </c>
      <c r="B2847" s="320">
        <f>'CEI ANGELA MARIA DA CONCEIÇÃO S'!D23</f>
        <v/>
      </c>
    </row>
    <row r="2848" ht="15" customHeight="1" s="163">
      <c r="A2848" s="319">
        <f>'CEI ANGELA MARIA DA CONCEIÇÃO S'!I24</f>
        <v/>
      </c>
      <c r="B2848" s="320">
        <f>'CEI ANGELA MARIA DA CONCEIÇÃO S'!D24</f>
        <v/>
      </c>
    </row>
    <row r="2849" ht="15" customHeight="1" s="163">
      <c r="A2849" s="319">
        <f>'CEI ANGELA MARIA DA CONCEIÇÃO S'!I25</f>
        <v/>
      </c>
      <c r="B2849" s="320">
        <f>'CEI ANGELA MARIA DA CONCEIÇÃO S'!D25</f>
        <v/>
      </c>
    </row>
    <row r="2850" ht="15" customHeight="1" s="163">
      <c r="A2850" s="319">
        <f>'CEI ANGELA MARIA DA CONCEIÇÃO S'!I26</f>
        <v/>
      </c>
      <c r="B2850" s="320">
        <f>'CEI ANGELA MARIA DA CONCEIÇÃO S'!D26</f>
        <v/>
      </c>
    </row>
    <row r="2851" ht="15" customHeight="1" s="163">
      <c r="A2851" s="319">
        <f>'CEI ANGELA MARIA DA CONCEIÇÃO S'!I27</f>
        <v/>
      </c>
      <c r="B2851" s="320">
        <f>'CEI ANGELA MARIA DA CONCEIÇÃO S'!D27</f>
        <v/>
      </c>
    </row>
    <row r="2852" ht="15" customHeight="1" s="163">
      <c r="A2852" s="319">
        <f>'CEI LUIZ MARCHIORI'!I9</f>
        <v/>
      </c>
      <c r="B2852" s="320">
        <f>'CEI LUIZ MARCHIORI'!D9</f>
        <v/>
      </c>
    </row>
    <row r="2853" ht="15" customHeight="1" s="163">
      <c r="A2853" s="319">
        <f>'CEI LUIZ MARCHIORI'!I10</f>
        <v/>
      </c>
      <c r="B2853" s="320">
        <f>'CEI LUIZ MARCHIORI'!D10</f>
        <v/>
      </c>
    </row>
    <row r="2854" ht="15" customHeight="1" s="163">
      <c r="A2854" s="319">
        <f>'CEI LUIZ MARCHIORI'!I11</f>
        <v/>
      </c>
      <c r="B2854" s="320">
        <f>'CEI LUIZ MARCHIORI'!D11</f>
        <v/>
      </c>
    </row>
    <row r="2855" ht="15" customHeight="1" s="163">
      <c r="A2855" s="319">
        <f>'CEI LUIZ MARCHIORI'!I12</f>
        <v/>
      </c>
      <c r="B2855" s="320">
        <f>'CEI LUIZ MARCHIORI'!D12</f>
        <v/>
      </c>
    </row>
    <row r="2856" ht="15" customHeight="1" s="163">
      <c r="A2856" s="319">
        <f>'CEI LUIZ MARCHIORI'!I13</f>
        <v/>
      </c>
      <c r="B2856" s="320">
        <f>'CEI LUIZ MARCHIORI'!D13</f>
        <v/>
      </c>
    </row>
    <row r="2857" ht="15" customHeight="1" s="163">
      <c r="A2857" s="319">
        <f>'CEI LUIZ MARCHIORI'!I14</f>
        <v/>
      </c>
      <c r="B2857" s="320">
        <f>'CEI LUIZ MARCHIORI'!D14</f>
        <v/>
      </c>
    </row>
    <row r="2858" ht="15" customHeight="1" s="163">
      <c r="A2858" s="319">
        <f>'CEI LUIZ MARCHIORI'!I15</f>
        <v/>
      </c>
      <c r="B2858" s="320">
        <f>'CEI LUIZ MARCHIORI'!D15</f>
        <v/>
      </c>
    </row>
    <row r="2859" ht="15" customHeight="1" s="163">
      <c r="A2859" s="319">
        <f>'CEI LUIZ MARCHIORI'!I16</f>
        <v/>
      </c>
      <c r="B2859" s="320">
        <f>'CEI LUIZ MARCHIORI'!D16</f>
        <v/>
      </c>
    </row>
    <row r="2860" ht="15" customHeight="1" s="163">
      <c r="A2860" s="319">
        <f>'CEI LUIZ MARCHIORI'!I17</f>
        <v/>
      </c>
      <c r="B2860" s="320">
        <f>'CEI LUIZ MARCHIORI'!D17</f>
        <v/>
      </c>
    </row>
    <row r="2861" ht="15" customHeight="1" s="163">
      <c r="A2861" s="319">
        <f>'CEI LUIZ MARCHIORI'!I18</f>
        <v/>
      </c>
      <c r="B2861" s="320">
        <f>'CEI LUIZ MARCHIORI'!D18</f>
        <v/>
      </c>
    </row>
    <row r="2862" ht="15" customHeight="1" s="163">
      <c r="A2862" s="319">
        <f>'CEI LUIZ MARCHIORI'!I19</f>
        <v/>
      </c>
      <c r="B2862" s="320">
        <f>'CEI LUIZ MARCHIORI'!D19</f>
        <v/>
      </c>
    </row>
    <row r="2863" ht="15" customHeight="1" s="163">
      <c r="A2863" s="319">
        <f>'CEI LUIZ MARCHIORI'!I20</f>
        <v/>
      </c>
      <c r="B2863" s="320">
        <f>'CEI LUIZ MARCHIORI'!D20</f>
        <v/>
      </c>
    </row>
    <row r="2864" ht="15" customHeight="1" s="163">
      <c r="A2864" s="319">
        <f>'CEI LUIZ MARCHIORI'!I21</f>
        <v/>
      </c>
      <c r="B2864" s="320">
        <f>'CEI LUIZ MARCHIORI'!D21</f>
        <v/>
      </c>
    </row>
    <row r="2865" ht="15" customHeight="1" s="163">
      <c r="A2865" s="319">
        <f>'CEI LUIZ MARCHIORI'!I22</f>
        <v/>
      </c>
      <c r="B2865" s="320">
        <f>'CEI LUIZ MARCHIORI'!D22</f>
        <v/>
      </c>
    </row>
    <row r="2866" ht="15" customHeight="1" s="163">
      <c r="A2866" s="319">
        <f>'CEI LUIZ MARCHIORI'!I23</f>
        <v/>
      </c>
      <c r="B2866" s="320">
        <f>'CEI LUIZ MARCHIORI'!D23</f>
        <v/>
      </c>
    </row>
    <row r="2867" ht="15" customHeight="1" s="163">
      <c r="A2867" s="319">
        <f>'CEI LUIZ MARCHIORI'!I24</f>
        <v/>
      </c>
      <c r="B2867" s="320">
        <f>'CEI LUIZ MARCHIORI'!D24</f>
        <v/>
      </c>
    </row>
    <row r="2868" ht="15" customHeight="1" s="163">
      <c r="A2868" s="319">
        <f>'CEI LUIZ MARCHIORI'!I25</f>
        <v/>
      </c>
      <c r="B2868" s="320">
        <f>'CEI LUIZ MARCHIORI'!D25</f>
        <v/>
      </c>
    </row>
    <row r="2869" ht="15" customHeight="1" s="163">
      <c r="A2869" s="319">
        <f>'CEI LUIZ MARCHIORI'!I26</f>
        <v/>
      </c>
      <c r="B2869" s="320">
        <f>'CEI LUIZ MARCHIORI'!D26</f>
        <v/>
      </c>
    </row>
    <row r="2870" ht="15" customHeight="1" s="163">
      <c r="A2870" s="319">
        <f>'CEI LUIZ MARCHIORI'!I27</f>
        <v/>
      </c>
      <c r="B2870" s="320">
        <f>'CEI LUIZ MARCHIORI'!D27</f>
        <v/>
      </c>
    </row>
    <row r="2871" ht="15" customHeight="1" s="163">
      <c r="A2871" s="319">
        <f>'CEI PROFª MARLUCE DE SOUZA PEST'!I9</f>
        <v/>
      </c>
      <c r="B2871" s="320">
        <f>'CEI PROFª MARLUCE DE SOUZA PEST'!D9</f>
        <v/>
      </c>
    </row>
    <row r="2872" ht="15" customHeight="1" s="163">
      <c r="A2872" s="319">
        <f>'CEI PROFª MARLUCE DE SOUZA PEST'!I10</f>
        <v/>
      </c>
      <c r="B2872" s="320">
        <f>'CEI PROFª MARLUCE DE SOUZA PEST'!D10</f>
        <v/>
      </c>
    </row>
    <row r="2873" ht="15" customHeight="1" s="163">
      <c r="A2873" s="319">
        <f>'CEI PROFª MARLUCE DE SOUZA PEST'!I11</f>
        <v/>
      </c>
      <c r="B2873" s="320">
        <f>'CEI PROFª MARLUCE DE SOUZA PEST'!D11</f>
        <v/>
      </c>
    </row>
    <row r="2874" ht="15" customHeight="1" s="163">
      <c r="A2874" s="319">
        <f>'CEI PROFª MARLUCE DE SOUZA PEST'!I12</f>
        <v/>
      </c>
      <c r="B2874" s="320">
        <f>'CEI PROFª MARLUCE DE SOUZA PEST'!D12</f>
        <v/>
      </c>
    </row>
    <row r="2875" ht="15" customHeight="1" s="163">
      <c r="A2875" s="319">
        <f>'CEI PROFª MARLUCE DE SOUZA PEST'!I13</f>
        <v/>
      </c>
      <c r="B2875" s="320">
        <f>'CEI PROFª MARLUCE DE SOUZA PEST'!D13</f>
        <v/>
      </c>
    </row>
    <row r="2876" ht="15" customHeight="1" s="163">
      <c r="A2876" s="319">
        <f>'CEI PROFª MARLUCE DE SOUZA PEST'!I14</f>
        <v/>
      </c>
      <c r="B2876" s="320">
        <f>'CEI PROFª MARLUCE DE SOUZA PEST'!D14</f>
        <v/>
      </c>
    </row>
    <row r="2877" ht="15" customHeight="1" s="163">
      <c r="A2877" s="319">
        <f>'CEI PROFª MARLUCE DE SOUZA PEST'!I15</f>
        <v/>
      </c>
      <c r="B2877" s="320">
        <f>'CEI PROFª MARLUCE DE SOUZA PEST'!D15</f>
        <v/>
      </c>
    </row>
    <row r="2878" ht="15" customHeight="1" s="163">
      <c r="A2878" s="319">
        <f>'CEI PROFª MARLUCE DE SOUZA PEST'!I16</f>
        <v/>
      </c>
      <c r="B2878" s="320">
        <f>'CEI PROFª MARLUCE DE SOUZA PEST'!D16</f>
        <v/>
      </c>
    </row>
    <row r="2879" ht="15" customHeight="1" s="163">
      <c r="A2879" s="319">
        <f>'CEI PROFª MARLUCE DE SOUZA PEST'!I17</f>
        <v/>
      </c>
      <c r="B2879" s="320">
        <f>'CEI PROFª MARLUCE DE SOUZA PEST'!D17</f>
        <v/>
      </c>
    </row>
    <row r="2880" ht="15" customHeight="1" s="163">
      <c r="A2880" s="319">
        <f>'CEI PROFª MARLUCE DE SOUZA PEST'!I18</f>
        <v/>
      </c>
      <c r="B2880" s="320">
        <f>'CEI PROFª MARLUCE DE SOUZA PEST'!D18</f>
        <v/>
      </c>
    </row>
    <row r="2881" ht="15" customHeight="1" s="163">
      <c r="A2881" s="319">
        <f>'CEI PROFª MARLUCE DE SOUZA PEST'!I19</f>
        <v/>
      </c>
      <c r="B2881" s="320">
        <f>'CEI PROFª MARLUCE DE SOUZA PEST'!D19</f>
        <v/>
      </c>
    </row>
    <row r="2882" ht="15" customHeight="1" s="163">
      <c r="A2882" s="319">
        <f>'CEI PROFª MARLUCE DE SOUZA PEST'!I20</f>
        <v/>
      </c>
      <c r="B2882" s="320">
        <f>'CEI PROFª MARLUCE DE SOUZA PEST'!D20</f>
        <v/>
      </c>
    </row>
    <row r="2883" ht="15" customHeight="1" s="163">
      <c r="A2883" s="319">
        <f>'CEI PROFª MARLUCE DE SOUZA PEST'!I21</f>
        <v/>
      </c>
      <c r="B2883" s="320">
        <f>'CEI PROFª MARLUCE DE SOUZA PEST'!D21</f>
        <v/>
      </c>
    </row>
    <row r="2884" ht="15" customHeight="1" s="163">
      <c r="A2884" s="319">
        <f>'CEI PROFª MARLUCE DE SOUZA PEST'!I22</f>
        <v/>
      </c>
      <c r="B2884" s="320">
        <f>'CEI PROFª MARLUCE DE SOUZA PEST'!D22</f>
        <v/>
      </c>
    </row>
    <row r="2885" ht="15" customHeight="1" s="163">
      <c r="A2885" s="319">
        <f>'CEI PROFª MARLUCE DE SOUZA PEST'!I23</f>
        <v/>
      </c>
      <c r="B2885" s="320">
        <f>'CEI PROFª MARLUCE DE SOUZA PEST'!D23</f>
        <v/>
      </c>
    </row>
    <row r="2886" ht="15" customHeight="1" s="163">
      <c r="A2886" s="319">
        <f>'CEI PROFª MARLUCE DE SOUZA PEST'!I24</f>
        <v/>
      </c>
      <c r="B2886" s="320">
        <f>'CEI PROFª MARLUCE DE SOUZA PEST'!D24</f>
        <v/>
      </c>
    </row>
    <row r="2887" ht="15" customHeight="1" s="163">
      <c r="A2887" s="319">
        <f>'CEI PROFª MARLUCE DE SOUZA PEST'!I25</f>
        <v/>
      </c>
      <c r="B2887" s="320">
        <f>'CEI PROFª MARLUCE DE SOUZA PEST'!D25</f>
        <v/>
      </c>
    </row>
    <row r="2888" ht="15" customHeight="1" s="163">
      <c r="A2888" s="319">
        <f>'CEI PROFª MARLUCE DE SOUZA PEST'!I26</f>
        <v/>
      </c>
      <c r="B2888" s="320">
        <f>'CEI PROFª MARLUCE DE SOUZA PEST'!D26</f>
        <v/>
      </c>
    </row>
    <row r="2889" ht="15" customHeight="1" s="163">
      <c r="A2889" s="319">
        <f>'CEI PROFª MARLUCE DE SOUZA PEST'!I27</f>
        <v/>
      </c>
      <c r="B2889" s="320">
        <f>'CEI PROFª MARLUCE DE SOUZA PEST'!D27</f>
        <v/>
      </c>
    </row>
    <row r="2890" ht="15" customHeight="1" s="163">
      <c r="A2890" s="319">
        <f>'CEI OLÍVIA MACHADO DA COSTA NOG'!I9</f>
        <v/>
      </c>
      <c r="B2890" s="320">
        <f>'CEI OLÍVIA MACHADO DA COSTA NOG'!D9</f>
        <v/>
      </c>
    </row>
    <row r="2891" ht="15" customHeight="1" s="163">
      <c r="A2891" s="319">
        <f>'CEI OLÍVIA MACHADO DA COSTA NOG'!I10</f>
        <v/>
      </c>
      <c r="B2891" s="320">
        <f>'CEI OLÍVIA MACHADO DA COSTA NOG'!D10</f>
        <v/>
      </c>
    </row>
    <row r="2892" ht="15" customHeight="1" s="163">
      <c r="A2892" s="319">
        <f>'CEI OLÍVIA MACHADO DA COSTA NOG'!I11</f>
        <v/>
      </c>
      <c r="B2892" s="320">
        <f>'CEI OLÍVIA MACHADO DA COSTA NOG'!D11</f>
        <v/>
      </c>
    </row>
    <row r="2893" ht="15" customHeight="1" s="163">
      <c r="A2893" s="319">
        <f>'CEI OLÍVIA MACHADO DA COSTA NOG'!I12</f>
        <v/>
      </c>
      <c r="B2893" s="320">
        <f>'CEI OLÍVIA MACHADO DA COSTA NOG'!D12</f>
        <v/>
      </c>
    </row>
    <row r="2894" ht="15" customHeight="1" s="163">
      <c r="A2894" s="319">
        <f>'CEI OLÍVIA MACHADO DA COSTA NOG'!I13</f>
        <v/>
      </c>
      <c r="B2894" s="320">
        <f>'CEI OLÍVIA MACHADO DA COSTA NOG'!D13</f>
        <v/>
      </c>
    </row>
    <row r="2895" ht="15" customHeight="1" s="163">
      <c r="A2895" s="319">
        <f>'CEI OLÍVIA MACHADO DA COSTA NOG'!I14</f>
        <v/>
      </c>
      <c r="B2895" s="320">
        <f>'CEI OLÍVIA MACHADO DA COSTA NOG'!D14</f>
        <v/>
      </c>
    </row>
    <row r="2896" ht="15" customHeight="1" s="163">
      <c r="A2896" s="319">
        <f>'CEI OLÍVIA MACHADO DA COSTA NOG'!I15</f>
        <v/>
      </c>
      <c r="B2896" s="320">
        <f>'CEI OLÍVIA MACHADO DA COSTA NOG'!D15</f>
        <v/>
      </c>
    </row>
    <row r="2897" ht="15" customHeight="1" s="163">
      <c r="A2897" s="319">
        <f>'CEI OLÍVIA MACHADO DA COSTA NOG'!I16</f>
        <v/>
      </c>
      <c r="B2897" s="320">
        <f>'CEI OLÍVIA MACHADO DA COSTA NOG'!D16</f>
        <v/>
      </c>
    </row>
    <row r="2898" ht="15" customHeight="1" s="163">
      <c r="A2898" s="319">
        <f>'CEI OLÍVIA MACHADO DA COSTA NOG'!I17</f>
        <v/>
      </c>
      <c r="B2898" s="320">
        <f>'CEI OLÍVIA MACHADO DA COSTA NOG'!D17</f>
        <v/>
      </c>
    </row>
    <row r="2899" ht="15" customHeight="1" s="163">
      <c r="A2899" s="319">
        <f>'CEI OLÍVIA MACHADO DA COSTA NOG'!I18</f>
        <v/>
      </c>
      <c r="B2899" s="320">
        <f>'CEI OLÍVIA MACHADO DA COSTA NOG'!D18</f>
        <v/>
      </c>
    </row>
    <row r="2900" ht="15" customHeight="1" s="163">
      <c r="A2900" s="319">
        <f>'CEI OLÍVIA MACHADO DA COSTA NOG'!I19</f>
        <v/>
      </c>
      <c r="B2900" s="320">
        <f>'CEI OLÍVIA MACHADO DA COSTA NOG'!D19</f>
        <v/>
      </c>
    </row>
    <row r="2901" ht="15" customHeight="1" s="163">
      <c r="A2901" s="319">
        <f>'CEI OLÍVIA MACHADO DA COSTA NOG'!I20</f>
        <v/>
      </c>
      <c r="B2901" s="320">
        <f>'CEI OLÍVIA MACHADO DA COSTA NOG'!D20</f>
        <v/>
      </c>
    </row>
    <row r="2902" ht="15" customHeight="1" s="163">
      <c r="A2902" s="319">
        <f>'CEI OLÍVIA MACHADO DA COSTA NOG'!I21</f>
        <v/>
      </c>
      <c r="B2902" s="320">
        <f>'CEI OLÍVIA MACHADO DA COSTA NOG'!D21</f>
        <v/>
      </c>
    </row>
    <row r="2903" ht="15" customHeight="1" s="163">
      <c r="A2903" s="319">
        <f>'CEI OLÍVIA MACHADO DA COSTA NOG'!I22</f>
        <v/>
      </c>
      <c r="B2903" s="320">
        <f>'CEI OLÍVIA MACHADO DA COSTA NOG'!D22</f>
        <v/>
      </c>
    </row>
    <row r="2904" ht="15" customHeight="1" s="163">
      <c r="A2904" s="319">
        <f>'CEI OLÍVIA MACHADO DA COSTA NOG'!I23</f>
        <v/>
      </c>
      <c r="B2904" s="320">
        <f>'CEI OLÍVIA MACHADO DA COSTA NOG'!D23</f>
        <v/>
      </c>
    </row>
    <row r="2905" ht="15" customHeight="1" s="163">
      <c r="A2905" s="319">
        <f>'CEI OLÍVIA MACHADO DA COSTA NOG'!I24</f>
        <v/>
      </c>
      <c r="B2905" s="320">
        <f>'CEI OLÍVIA MACHADO DA COSTA NOG'!D24</f>
        <v/>
      </c>
    </row>
    <row r="2906" ht="15" customHeight="1" s="163">
      <c r="A2906" s="319">
        <f>'CEI OLÍVIA MACHADO DA COSTA NOG'!I25</f>
        <v/>
      </c>
      <c r="B2906" s="320">
        <f>'CEI OLÍVIA MACHADO DA COSTA NOG'!D25</f>
        <v/>
      </c>
    </row>
    <row r="2907" ht="15" customHeight="1" s="163">
      <c r="A2907" s="319">
        <f>'CEI OLÍVIA MACHADO DA COSTA NOG'!I26</f>
        <v/>
      </c>
      <c r="B2907" s="320">
        <f>'CEI OLÍVIA MACHADO DA COSTA NOG'!D26</f>
        <v/>
      </c>
    </row>
    <row r="2908" ht="15" customHeight="1" s="163">
      <c r="A2908" s="319">
        <f>'CEI OLÍVIA MACHADO DA COSTA NOG'!I27</f>
        <v/>
      </c>
      <c r="B2908" s="320">
        <f>'CEI OLÍVIA MACHADO DA COSTA NOG'!D27</f>
        <v/>
      </c>
    </row>
    <row r="2909" ht="15" customHeight="1" s="163">
      <c r="A2909" s="319">
        <f>'CEI VILA IPANEMA'!I9</f>
        <v/>
      </c>
      <c r="B2909" s="320">
        <f>'CEI VILA IPANEMA'!D9</f>
        <v/>
      </c>
    </row>
    <row r="2910" ht="15" customHeight="1" s="163">
      <c r="A2910" s="319">
        <f>'CEI VILA IPANEMA'!I10</f>
        <v/>
      </c>
      <c r="B2910" s="320">
        <f>'CEI VILA IPANEMA'!D10</f>
        <v/>
      </c>
    </row>
    <row r="2911" ht="15" customHeight="1" s="163">
      <c r="A2911" s="319">
        <f>'CEI VILA IPANEMA'!I11</f>
        <v/>
      </c>
      <c r="B2911" s="320">
        <f>'CEI VILA IPANEMA'!D11</f>
        <v/>
      </c>
    </row>
    <row r="2912" ht="15" customHeight="1" s="163">
      <c r="A2912" s="319">
        <f>'CEI VILA IPANEMA'!I12</f>
        <v/>
      </c>
      <c r="B2912" s="320">
        <f>'CEI VILA IPANEMA'!D12</f>
        <v/>
      </c>
    </row>
    <row r="2913" ht="15" customHeight="1" s="163">
      <c r="A2913" s="319">
        <f>'CEI VILA IPANEMA'!I13</f>
        <v/>
      </c>
      <c r="B2913" s="320">
        <f>'CEI VILA IPANEMA'!D13</f>
        <v/>
      </c>
    </row>
    <row r="2914" ht="15" customHeight="1" s="163">
      <c r="A2914" s="319">
        <f>'CEI VILA IPANEMA'!I14</f>
        <v/>
      </c>
      <c r="B2914" s="320">
        <f>'CEI VILA IPANEMA'!D14</f>
        <v/>
      </c>
    </row>
    <row r="2915" ht="15" customHeight="1" s="163">
      <c r="A2915" s="319">
        <f>'CEI VILA IPANEMA'!I15</f>
        <v/>
      </c>
      <c r="B2915" s="320">
        <f>'CEI VILA IPANEMA'!D15</f>
        <v/>
      </c>
    </row>
    <row r="2916" ht="15" customHeight="1" s="163">
      <c r="A2916" s="319">
        <f>'CEI VILA IPANEMA'!I16</f>
        <v/>
      </c>
      <c r="B2916" s="320">
        <f>'CEI VILA IPANEMA'!D16</f>
        <v/>
      </c>
    </row>
    <row r="2917" ht="15" customHeight="1" s="163">
      <c r="A2917" s="319">
        <f>'CEI VILA IPANEMA'!I17</f>
        <v/>
      </c>
      <c r="B2917" s="320">
        <f>'CEI VILA IPANEMA'!D17</f>
        <v/>
      </c>
    </row>
    <row r="2918" ht="15" customHeight="1" s="163">
      <c r="A2918" s="319">
        <f>'CEI VILA IPANEMA'!I18</f>
        <v/>
      </c>
      <c r="B2918" s="320">
        <f>'CEI VILA IPANEMA'!D18</f>
        <v/>
      </c>
    </row>
    <row r="2919" ht="15" customHeight="1" s="163">
      <c r="A2919" s="319">
        <f>'CEI VILA IPANEMA'!I19</f>
        <v/>
      </c>
      <c r="B2919" s="320">
        <f>'CEI VILA IPANEMA'!D19</f>
        <v/>
      </c>
    </row>
    <row r="2920" ht="15" customHeight="1" s="163">
      <c r="A2920" s="319">
        <f>'CEI VILA IPANEMA'!I20</f>
        <v/>
      </c>
      <c r="B2920" s="320">
        <f>'CEI VILA IPANEMA'!D20</f>
        <v/>
      </c>
    </row>
    <row r="2921" ht="15" customHeight="1" s="163">
      <c r="A2921" s="319">
        <f>'CEI VILA IPANEMA'!I21</f>
        <v/>
      </c>
      <c r="B2921" s="320">
        <f>'CEI VILA IPANEMA'!D21</f>
        <v/>
      </c>
    </row>
    <row r="2922" ht="15" customHeight="1" s="163">
      <c r="A2922" s="319">
        <f>'CEI VILA IPANEMA'!I22</f>
        <v/>
      </c>
      <c r="B2922" s="320">
        <f>'CEI VILA IPANEMA'!D22</f>
        <v/>
      </c>
    </row>
    <row r="2923" ht="15" customHeight="1" s="163">
      <c r="A2923" s="319">
        <f>'CEI VILA IPANEMA'!I23</f>
        <v/>
      </c>
      <c r="B2923" s="320">
        <f>'CEI VILA IPANEMA'!D23</f>
        <v/>
      </c>
    </row>
    <row r="2924" ht="15" customHeight="1" s="163">
      <c r="A2924" s="319">
        <f>'CEI VILA IPANEMA'!I24</f>
        <v/>
      </c>
      <c r="B2924" s="320">
        <f>'CEI VILA IPANEMA'!D24</f>
        <v/>
      </c>
    </row>
    <row r="2925" ht="15" customHeight="1" s="163">
      <c r="A2925" s="319">
        <f>'CEI VILA IPANEMA'!I25</f>
        <v/>
      </c>
      <c r="B2925" s="320">
        <f>'CEI VILA IPANEMA'!D25</f>
        <v/>
      </c>
    </row>
    <row r="2926" ht="15" customHeight="1" s="163">
      <c r="A2926" s="319">
        <f>'CEI VILA IPANEMA'!I26</f>
        <v/>
      </c>
      <c r="B2926" s="320">
        <f>'CEI VILA IPANEMA'!D26</f>
        <v/>
      </c>
    </row>
    <row r="2927" ht="15" customHeight="1" s="163">
      <c r="A2927" s="319">
        <f>'CEI VILA IPANEMA'!I27</f>
        <v/>
      </c>
      <c r="B2927" s="320">
        <f>'CEI VILA IPANEMA'!D27</f>
        <v/>
      </c>
    </row>
    <row r="2928" ht="15" customHeight="1" s="163">
      <c r="A2928" s="319">
        <f>'CEI VILA LEOPOLDINA'!I9</f>
        <v/>
      </c>
      <c r="B2928" s="320">
        <f>'CEI VILA LEOPOLDINA'!D9</f>
        <v/>
      </c>
    </row>
    <row r="2929" ht="15" customHeight="1" s="163">
      <c r="A2929" s="319">
        <f>'CEI VILA LEOPOLDINA'!I10</f>
        <v/>
      </c>
      <c r="B2929" s="320">
        <f>'CEI VILA LEOPOLDINA'!D10</f>
        <v/>
      </c>
    </row>
    <row r="2930" ht="15" customHeight="1" s="163">
      <c r="A2930" s="319">
        <f>'CEI VILA LEOPOLDINA'!I11</f>
        <v/>
      </c>
      <c r="B2930" s="320">
        <f>'CEI VILA LEOPOLDINA'!D11</f>
        <v/>
      </c>
    </row>
    <row r="2931" ht="15" customHeight="1" s="163">
      <c r="A2931" s="319">
        <f>'CEI VILA LEOPOLDINA'!I12</f>
        <v/>
      </c>
      <c r="B2931" s="320">
        <f>'CEI VILA LEOPOLDINA'!D12</f>
        <v/>
      </c>
    </row>
    <row r="2932" ht="15" customHeight="1" s="163">
      <c r="A2932" s="319">
        <f>'CEI VILA LEOPOLDINA'!I13</f>
        <v/>
      </c>
      <c r="B2932" s="320">
        <f>'CEI VILA LEOPOLDINA'!D13</f>
        <v/>
      </c>
    </row>
    <row r="2933" ht="15" customHeight="1" s="163">
      <c r="A2933" s="319">
        <f>'CEI VILA LEOPOLDINA'!I14</f>
        <v/>
      </c>
      <c r="B2933" s="320">
        <f>'CEI VILA LEOPOLDINA'!D14</f>
        <v/>
      </c>
    </row>
    <row r="2934" ht="15" customHeight="1" s="163">
      <c r="A2934" s="319">
        <f>'CEI VILA LEOPOLDINA'!I15</f>
        <v/>
      </c>
      <c r="B2934" s="320">
        <f>'CEI VILA LEOPOLDINA'!D15</f>
        <v/>
      </c>
    </row>
    <row r="2935" ht="15" customHeight="1" s="163">
      <c r="A2935" s="319">
        <f>'CEI VILA LEOPOLDINA'!I16</f>
        <v/>
      </c>
      <c r="B2935" s="320">
        <f>'CEI VILA LEOPOLDINA'!D16</f>
        <v/>
      </c>
    </row>
    <row r="2936" ht="15" customHeight="1" s="163">
      <c r="A2936" s="319">
        <f>'CEI VILA LEOPOLDINA'!I17</f>
        <v/>
      </c>
      <c r="B2936" s="320">
        <f>'CEI VILA LEOPOLDINA'!D17</f>
        <v/>
      </c>
    </row>
    <row r="2937" ht="15" customHeight="1" s="163">
      <c r="A2937" s="319">
        <f>'CEI VILA LEOPOLDINA'!I18</f>
        <v/>
      </c>
      <c r="B2937" s="320">
        <f>'CEI VILA LEOPOLDINA'!D18</f>
        <v/>
      </c>
    </row>
    <row r="2938" ht="15" customHeight="1" s="163">
      <c r="A2938" s="319">
        <f>'CEI VILA LEOPOLDINA'!I19</f>
        <v/>
      </c>
      <c r="B2938" s="320">
        <f>'CEI VILA LEOPOLDINA'!D19</f>
        <v/>
      </c>
    </row>
    <row r="2939" ht="15" customHeight="1" s="163">
      <c r="A2939" s="319">
        <f>'CEI VILA LEOPOLDINA'!I20</f>
        <v/>
      </c>
      <c r="B2939" s="320">
        <f>'CEI VILA LEOPOLDINA'!D20</f>
        <v/>
      </c>
    </row>
    <row r="2940" ht="15" customHeight="1" s="163">
      <c r="A2940" s="319">
        <f>'CEI VILA LEOPOLDINA'!I21</f>
        <v/>
      </c>
      <c r="B2940" s="320">
        <f>'CEI VILA LEOPOLDINA'!D21</f>
        <v/>
      </c>
    </row>
    <row r="2941" ht="15" customHeight="1" s="163">
      <c r="A2941" s="319">
        <f>'CEI VILA LEOPOLDINA'!I22</f>
        <v/>
      </c>
      <c r="B2941" s="320">
        <f>'CEI VILA LEOPOLDINA'!D22</f>
        <v/>
      </c>
    </row>
    <row r="2942" ht="15" customHeight="1" s="163">
      <c r="A2942" s="319">
        <f>'CEI VILA LEOPOLDINA'!I23</f>
        <v/>
      </c>
      <c r="B2942" s="320">
        <f>'CEI VILA LEOPOLDINA'!D23</f>
        <v/>
      </c>
    </row>
    <row r="2943" ht="15" customHeight="1" s="163">
      <c r="A2943" s="319">
        <f>'CEI VILA LEOPOLDINA'!I24</f>
        <v/>
      </c>
      <c r="B2943" s="320">
        <f>'CEI VILA LEOPOLDINA'!D24</f>
        <v/>
      </c>
    </row>
    <row r="2944" ht="15" customHeight="1" s="163">
      <c r="A2944" s="319">
        <f>'CEI VILA LEOPOLDINA'!I25</f>
        <v/>
      </c>
      <c r="B2944" s="320">
        <f>'CEI VILA LEOPOLDINA'!D25</f>
        <v/>
      </c>
    </row>
    <row r="2945" ht="15" customHeight="1" s="163">
      <c r="A2945" s="319">
        <f>'CEI VILA LEOPOLDINA'!I26</f>
        <v/>
      </c>
      <c r="B2945" s="320">
        <f>'CEI VILA LEOPOLDINA'!D26</f>
        <v/>
      </c>
    </row>
    <row r="2946" ht="15" customHeight="1" s="163">
      <c r="A2946" s="319">
        <f>'CEI VILA LEOPOLDINA'!I27</f>
        <v/>
      </c>
      <c r="B2946" s="320">
        <f>'CEI VILA LEOPOLDINA'!D27</f>
        <v/>
      </c>
    </row>
    <row r="2947" ht="15" customHeight="1" s="163">
      <c r="A2947" s="319">
        <f>'CENTRO DE EDUCAÇÃO INFANTIL CAS'!I9</f>
        <v/>
      </c>
      <c r="B2947" s="320">
        <f>'CENTRO DE EDUCAÇÃO INFANTIL CAS'!D9</f>
        <v/>
      </c>
    </row>
    <row r="2948" ht="15" customHeight="1" s="163">
      <c r="A2948" s="319">
        <f>'CENTRO DE EDUCAÇÃO INFANTIL CAS'!I10</f>
        <v/>
      </c>
      <c r="B2948" s="320">
        <f>'CENTRO DE EDUCAÇÃO INFANTIL CAS'!D10</f>
        <v/>
      </c>
    </row>
    <row r="2949" ht="15" customHeight="1" s="163">
      <c r="A2949" s="319">
        <f>'CENTRO DE EDUCAÇÃO INFANTIL CAS'!I11</f>
        <v/>
      </c>
      <c r="B2949" s="320">
        <f>'CENTRO DE EDUCAÇÃO INFANTIL CAS'!D11</f>
        <v/>
      </c>
    </row>
    <row r="2950" ht="15" customHeight="1" s="163">
      <c r="A2950" s="319">
        <f>'CENTRO DE EDUCAÇÃO INFANTIL CAS'!I12</f>
        <v/>
      </c>
      <c r="B2950" s="320">
        <f>'CENTRO DE EDUCAÇÃO INFANTIL CAS'!D12</f>
        <v/>
      </c>
    </row>
    <row r="2951" ht="15" customHeight="1" s="163">
      <c r="A2951" s="319">
        <f>'CENTRO DE EDUCAÇÃO INFANTIL CAS'!I13</f>
        <v/>
      </c>
      <c r="B2951" s="320">
        <f>'CENTRO DE EDUCAÇÃO INFANTIL CAS'!D13</f>
        <v/>
      </c>
    </row>
    <row r="2952" ht="15" customHeight="1" s="163">
      <c r="A2952" s="319">
        <f>'CENTRO DE EDUCAÇÃO INFANTIL CAS'!I14</f>
        <v/>
      </c>
      <c r="B2952" s="320">
        <f>'CENTRO DE EDUCAÇÃO INFANTIL CAS'!D14</f>
        <v/>
      </c>
    </row>
    <row r="2953" ht="15" customHeight="1" s="163">
      <c r="A2953" s="319">
        <f>'CENTRO DE EDUCAÇÃO INFANTIL CAS'!I15</f>
        <v/>
      </c>
      <c r="B2953" s="320">
        <f>'CENTRO DE EDUCAÇÃO INFANTIL CAS'!D15</f>
        <v/>
      </c>
    </row>
    <row r="2954" ht="15" customHeight="1" s="163">
      <c r="A2954" s="319">
        <f>'CENTRO DE EDUCAÇÃO INFANTIL CAS'!I16</f>
        <v/>
      </c>
      <c r="B2954" s="320">
        <f>'CENTRO DE EDUCAÇÃO INFANTIL CAS'!D16</f>
        <v/>
      </c>
    </row>
    <row r="2955" ht="15" customHeight="1" s="163">
      <c r="A2955" s="319">
        <f>'CENTRO DE EDUCAÇÃO INFANTIL CAS'!I17</f>
        <v/>
      </c>
      <c r="B2955" s="320">
        <f>'CENTRO DE EDUCAÇÃO INFANTIL CAS'!D17</f>
        <v/>
      </c>
    </row>
    <row r="2956" ht="15" customHeight="1" s="163">
      <c r="A2956" s="319">
        <f>'CENTRO DE EDUCAÇÃO INFANTIL CAS'!I18</f>
        <v/>
      </c>
      <c r="B2956" s="320">
        <f>'CENTRO DE EDUCAÇÃO INFANTIL CAS'!D18</f>
        <v/>
      </c>
    </row>
    <row r="2957" ht="15" customHeight="1" s="163">
      <c r="A2957" s="319">
        <f>'CENTRO DE EDUCAÇÃO INFANTIL CAS'!I19</f>
        <v/>
      </c>
      <c r="B2957" s="320">
        <f>'CENTRO DE EDUCAÇÃO INFANTIL CAS'!D19</f>
        <v/>
      </c>
    </row>
    <row r="2958" ht="15" customHeight="1" s="163">
      <c r="A2958" s="319">
        <f>'CENTRO DE EDUCAÇÃO INFANTIL CAS'!I20</f>
        <v/>
      </c>
      <c r="B2958" s="320">
        <f>'CENTRO DE EDUCAÇÃO INFANTIL CAS'!D20</f>
        <v/>
      </c>
    </row>
    <row r="2959" ht="15" customHeight="1" s="163">
      <c r="A2959" s="319">
        <f>'CENTRO DE EDUCAÇÃO INFANTIL CAS'!I21</f>
        <v/>
      </c>
      <c r="B2959" s="320">
        <f>'CENTRO DE EDUCAÇÃO INFANTIL CAS'!D21</f>
        <v/>
      </c>
    </row>
    <row r="2960" ht="15" customHeight="1" s="163">
      <c r="A2960" s="319">
        <f>'CENTRO DE EDUCAÇÃO INFANTIL CAS'!I22</f>
        <v/>
      </c>
      <c r="B2960" s="320">
        <f>'CENTRO DE EDUCAÇÃO INFANTIL CAS'!D22</f>
        <v/>
      </c>
    </row>
    <row r="2961" ht="15" customHeight="1" s="163">
      <c r="A2961" s="319">
        <f>'CENTRO DE EDUCAÇÃO INFANTIL CAS'!I23</f>
        <v/>
      </c>
      <c r="B2961" s="320">
        <f>'CENTRO DE EDUCAÇÃO INFANTIL CAS'!D23</f>
        <v/>
      </c>
    </row>
    <row r="2962" ht="15" customHeight="1" s="163">
      <c r="A2962" s="319">
        <f>'CENTRO DE EDUCAÇÃO INFANTIL CAS'!I24</f>
        <v/>
      </c>
      <c r="B2962" s="320">
        <f>'CENTRO DE EDUCAÇÃO INFANTIL CAS'!D24</f>
        <v/>
      </c>
    </row>
    <row r="2963" ht="15" customHeight="1" s="163">
      <c r="A2963" s="319">
        <f>'CENTRO DE EDUCAÇÃO INFANTIL CAS'!I25</f>
        <v/>
      </c>
      <c r="B2963" s="320">
        <f>'CENTRO DE EDUCAÇÃO INFANTIL CAS'!D25</f>
        <v/>
      </c>
    </row>
    <row r="2964" ht="15" customHeight="1" s="163">
      <c r="A2964" s="319">
        <f>'CENTRO DE EDUCAÇÃO INFANTIL CAS'!I26</f>
        <v/>
      </c>
      <c r="B2964" s="320">
        <f>'CENTRO DE EDUCAÇÃO INFANTIL CAS'!D26</f>
        <v/>
      </c>
    </row>
    <row r="2965" ht="15" customHeight="1" s="163">
      <c r="A2965" s="319">
        <f>'CENTRO DE EDUCAÇÃO INFANTIL CAS'!I27</f>
        <v/>
      </c>
      <c r="B2965" s="320">
        <f>'CENTRO DE EDUCAÇÃO INFANTIL CAS'!D27</f>
        <v/>
      </c>
    </row>
    <row r="2966" ht="15" customHeight="1" s="163">
      <c r="A2966" s="319">
        <f>'CEI PRIMEIRA INFÂNCIA'!I9</f>
        <v/>
      </c>
      <c r="B2966" s="320">
        <f>'CEI PRIMEIRA INFÂNCIA'!D9</f>
        <v/>
      </c>
    </row>
    <row r="2967" ht="15" customHeight="1" s="163">
      <c r="A2967" s="319">
        <f>'CEI PRIMEIRA INFÂNCIA'!I10</f>
        <v/>
      </c>
      <c r="B2967" s="320">
        <f>'CEI PRIMEIRA INFÂNCIA'!D10</f>
        <v/>
      </c>
    </row>
    <row r="2968" ht="15" customHeight="1" s="163">
      <c r="A2968" s="319">
        <f>'CEI PRIMEIRA INFÂNCIA'!I11</f>
        <v/>
      </c>
      <c r="B2968" s="320">
        <f>'CEI PRIMEIRA INFÂNCIA'!D11</f>
        <v/>
      </c>
    </row>
    <row r="2969" ht="15" customHeight="1" s="163">
      <c r="A2969" s="319">
        <f>'CEI PRIMEIRA INFÂNCIA'!I12</f>
        <v/>
      </c>
      <c r="B2969" s="320">
        <f>'CEI PRIMEIRA INFÂNCIA'!D12</f>
        <v/>
      </c>
    </row>
    <row r="2970" ht="15" customHeight="1" s="163">
      <c r="A2970" s="319">
        <f>'CEI PRIMEIRA INFÂNCIA'!I13</f>
        <v/>
      </c>
      <c r="B2970" s="320">
        <f>'CEI PRIMEIRA INFÂNCIA'!D13</f>
        <v/>
      </c>
    </row>
    <row r="2971" ht="15" customHeight="1" s="163">
      <c r="A2971" s="319">
        <f>'CEI PRIMEIRA INFÂNCIA'!I14</f>
        <v/>
      </c>
      <c r="B2971" s="320">
        <f>'CEI PRIMEIRA INFÂNCIA'!D14</f>
        <v/>
      </c>
    </row>
    <row r="2972" ht="15" customHeight="1" s="163">
      <c r="A2972" s="319">
        <f>'CEI PRIMEIRA INFÂNCIA'!I15</f>
        <v/>
      </c>
      <c r="B2972" s="320">
        <f>'CEI PRIMEIRA INFÂNCIA'!D15</f>
        <v/>
      </c>
    </row>
    <row r="2973" ht="15" customHeight="1" s="163">
      <c r="A2973" s="319">
        <f>'CEI PRIMEIRA INFÂNCIA'!I16</f>
        <v/>
      </c>
      <c r="B2973" s="320">
        <f>'CEI PRIMEIRA INFÂNCIA'!D16</f>
        <v/>
      </c>
    </row>
    <row r="2974" ht="15" customHeight="1" s="163">
      <c r="A2974" s="319">
        <f>'CEI PRIMEIRA INFÂNCIA'!I17</f>
        <v/>
      </c>
      <c r="B2974" s="320">
        <f>'CEI PRIMEIRA INFÂNCIA'!D17</f>
        <v/>
      </c>
    </row>
    <row r="2975" ht="15" customHeight="1" s="163">
      <c r="A2975" s="319">
        <f>'CEI PRIMEIRA INFÂNCIA'!I18</f>
        <v/>
      </c>
      <c r="B2975" s="320">
        <f>'CEI PRIMEIRA INFÂNCIA'!D18</f>
        <v/>
      </c>
    </row>
    <row r="2976" ht="15" customHeight="1" s="163">
      <c r="A2976" s="319">
        <f>'CEI PRIMEIRA INFÂNCIA'!I19</f>
        <v/>
      </c>
      <c r="B2976" s="320">
        <f>'CEI PRIMEIRA INFÂNCIA'!D19</f>
        <v/>
      </c>
    </row>
    <row r="2977" ht="15" customHeight="1" s="163">
      <c r="A2977" s="319">
        <f>'CEI PRIMEIRA INFÂNCIA'!I20</f>
        <v/>
      </c>
      <c r="B2977" s="320">
        <f>'CEI PRIMEIRA INFÂNCIA'!D20</f>
        <v/>
      </c>
    </row>
    <row r="2978" ht="15" customHeight="1" s="163">
      <c r="A2978" s="319">
        <f>'CEI PRIMEIRA INFÂNCIA'!I21</f>
        <v/>
      </c>
      <c r="B2978" s="320">
        <f>'CEI PRIMEIRA INFÂNCIA'!D21</f>
        <v/>
      </c>
    </row>
    <row r="2979" ht="15" customHeight="1" s="163">
      <c r="A2979" s="319">
        <f>'CEI PRIMEIRA INFÂNCIA'!I22</f>
        <v/>
      </c>
      <c r="B2979" s="320">
        <f>'CEI PRIMEIRA INFÂNCIA'!D22</f>
        <v/>
      </c>
    </row>
    <row r="2980" ht="15" customHeight="1" s="163">
      <c r="A2980" s="319">
        <f>'CEI PRIMEIRA INFÂNCIA'!I23</f>
        <v/>
      </c>
      <c r="B2980" s="320">
        <f>'CEI PRIMEIRA INFÂNCIA'!D23</f>
        <v/>
      </c>
    </row>
    <row r="2981" ht="15" customHeight="1" s="163">
      <c r="A2981" s="319">
        <f>'CEI PRIMEIRA INFÂNCIA'!I24</f>
        <v/>
      </c>
      <c r="B2981" s="320">
        <f>'CEI PRIMEIRA INFÂNCIA'!D24</f>
        <v/>
      </c>
    </row>
    <row r="2982" ht="15" customHeight="1" s="163">
      <c r="A2982" s="319">
        <f>'CEI PRIMEIRA INFÂNCIA'!I25</f>
        <v/>
      </c>
      <c r="B2982" s="320">
        <f>'CEI PRIMEIRA INFÂNCIA'!D25</f>
        <v/>
      </c>
    </row>
    <row r="2983" ht="15" customHeight="1" s="163">
      <c r="A2983" s="319">
        <f>'CEI PRIMEIRA INFÂNCIA'!I26</f>
        <v/>
      </c>
      <c r="B2983" s="320">
        <f>'CEI PRIMEIRA INFÂNCIA'!D26</f>
        <v/>
      </c>
    </row>
    <row r="2984" ht="15" customHeight="1" s="163">
      <c r="A2984" s="319">
        <f>'CEI PRIMEIRA INFÂNCIA'!I27</f>
        <v/>
      </c>
      <c r="B2984" s="320">
        <f>'CEI PRIMEIRA INFÂNCIA'!D27</f>
        <v/>
      </c>
    </row>
    <row r="2985" ht="15" customHeight="1" s="163">
      <c r="A2985" s="319">
        <f>'CEI PROFª DORA KILLER'!I9</f>
        <v/>
      </c>
      <c r="B2985" s="320">
        <f>'CEI PROFª DORA KILLER'!D9</f>
        <v/>
      </c>
    </row>
    <row r="2986" ht="15" customHeight="1" s="163">
      <c r="A2986" s="319">
        <f>'CEI PROFª DORA KILLER'!I10</f>
        <v/>
      </c>
      <c r="B2986" s="320">
        <f>'CEI PROFª DORA KILLER'!D10</f>
        <v/>
      </c>
    </row>
    <row r="2987" ht="15" customHeight="1" s="163">
      <c r="A2987" s="319">
        <f>'CEI PROFª DORA KILLER'!I11</f>
        <v/>
      </c>
      <c r="B2987" s="320">
        <f>'CEI PROFª DORA KILLER'!D11</f>
        <v/>
      </c>
    </row>
    <row r="2988" ht="15" customHeight="1" s="163">
      <c r="A2988" s="319">
        <f>'CEI PROFª DORA KILLER'!I12</f>
        <v/>
      </c>
      <c r="B2988" s="320">
        <f>'CEI PROFª DORA KILLER'!D12</f>
        <v/>
      </c>
    </row>
    <row r="2989" ht="15" customHeight="1" s="163">
      <c r="A2989" s="319">
        <f>'CEI PROFª DORA KILLER'!I13</f>
        <v/>
      </c>
      <c r="B2989" s="320">
        <f>'CEI PROFª DORA KILLER'!D13</f>
        <v/>
      </c>
    </row>
    <row r="2990" ht="15" customHeight="1" s="163">
      <c r="A2990" s="319">
        <f>'CEI PROFª DORA KILLER'!I14</f>
        <v/>
      </c>
      <c r="B2990" s="320">
        <f>'CEI PROFª DORA KILLER'!D14</f>
        <v/>
      </c>
    </row>
    <row r="2991" ht="15" customHeight="1" s="163">
      <c r="A2991" s="319">
        <f>'CEI PROFª DORA KILLER'!I15</f>
        <v/>
      </c>
      <c r="B2991" s="320">
        <f>'CEI PROFª DORA KILLER'!D15</f>
        <v/>
      </c>
    </row>
    <row r="2992" ht="15" customHeight="1" s="163">
      <c r="A2992" s="319">
        <f>'CEI PROFª DORA KILLER'!I16</f>
        <v/>
      </c>
      <c r="B2992" s="320">
        <f>'CEI PROFª DORA KILLER'!D16</f>
        <v/>
      </c>
    </row>
    <row r="2993" ht="15" customHeight="1" s="163">
      <c r="A2993" s="319">
        <f>'CEI PROFª DORA KILLER'!I17</f>
        <v/>
      </c>
      <c r="B2993" s="320">
        <f>'CEI PROFª DORA KILLER'!D17</f>
        <v/>
      </c>
    </row>
    <row r="2994" ht="15" customHeight="1" s="163">
      <c r="A2994" s="319">
        <f>'CEI PROFª DORA KILLER'!I18</f>
        <v/>
      </c>
      <c r="B2994" s="320">
        <f>'CEI PROFª DORA KILLER'!D18</f>
        <v/>
      </c>
    </row>
    <row r="2995" ht="15" customHeight="1" s="163">
      <c r="A2995" s="319">
        <f>'CEI PROFª DORA KILLER'!I19</f>
        <v/>
      </c>
      <c r="B2995" s="320">
        <f>'CEI PROFª DORA KILLER'!D19</f>
        <v/>
      </c>
    </row>
    <row r="2996" ht="15" customHeight="1" s="163">
      <c r="A2996" s="319">
        <f>'CEI PROFª DORA KILLER'!I20</f>
        <v/>
      </c>
      <c r="B2996" s="320">
        <f>'CEI PROFª DORA KILLER'!D20</f>
        <v/>
      </c>
    </row>
    <row r="2997" ht="15" customHeight="1" s="163">
      <c r="A2997" s="319">
        <f>'CEI PROFª DORA KILLER'!I21</f>
        <v/>
      </c>
      <c r="B2997" s="320">
        <f>'CEI PROFª DORA KILLER'!D21</f>
        <v/>
      </c>
    </row>
    <row r="2998" ht="15" customHeight="1" s="163">
      <c r="A2998" s="319">
        <f>'CEI PROFª DORA KILLER'!I22</f>
        <v/>
      </c>
      <c r="B2998" s="320">
        <f>'CEI PROFª DORA KILLER'!D22</f>
        <v/>
      </c>
    </row>
    <row r="2999" ht="15" customHeight="1" s="163">
      <c r="A2999" s="319">
        <f>'CEI PROFª DORA KILLER'!I23</f>
        <v/>
      </c>
      <c r="B2999" s="320">
        <f>'CEI PROFª DORA KILLER'!D23</f>
        <v/>
      </c>
    </row>
    <row r="3000" ht="15" customHeight="1" s="163">
      <c r="A3000" s="319">
        <f>'CEI PROFª DORA KILLER'!I24</f>
        <v/>
      </c>
      <c r="B3000" s="320">
        <f>'CEI PROFª DORA KILLER'!D24</f>
        <v/>
      </c>
    </row>
    <row r="3001" ht="15" customHeight="1" s="163">
      <c r="A3001" s="319">
        <f>'CEI PROFª DORA KILLER'!I25</f>
        <v/>
      </c>
      <c r="B3001" s="320">
        <f>'CEI PROFª DORA KILLER'!D25</f>
        <v/>
      </c>
    </row>
    <row r="3002" ht="15" customHeight="1" s="163">
      <c r="A3002" s="319">
        <f>'CEI PROFª DORA KILLER'!I26</f>
        <v/>
      </c>
      <c r="B3002" s="320">
        <f>'CEI PROFª DORA KILLER'!D26</f>
        <v/>
      </c>
    </row>
    <row r="3003" ht="15" customHeight="1" s="163">
      <c r="A3003" s="319">
        <f>'CEI PROFª DORA KILLER'!I27</f>
        <v/>
      </c>
      <c r="B3003" s="320">
        <f>'CEI PROFª DORA KILLER'!D27</f>
        <v/>
      </c>
    </row>
    <row r="3004" ht="15" customHeight="1" s="163">
      <c r="A3004" s="319">
        <f>'CEI PROFª PATRÍCIA FERREIRA E S'!I9</f>
        <v/>
      </c>
      <c r="B3004" s="320">
        <f>'CEI PROFª PATRÍCIA FERREIRA E S'!D9</f>
        <v/>
      </c>
    </row>
    <row r="3005" ht="15" customHeight="1" s="163">
      <c r="A3005" s="319">
        <f>'CEI PROFª PATRÍCIA FERREIRA E S'!I10</f>
        <v/>
      </c>
      <c r="B3005" s="320">
        <f>'CEI PROFª PATRÍCIA FERREIRA E S'!D10</f>
        <v/>
      </c>
    </row>
    <row r="3006" ht="15" customHeight="1" s="163">
      <c r="A3006" s="319">
        <f>'CEI PROFª PATRÍCIA FERREIRA E S'!I11</f>
        <v/>
      </c>
      <c r="B3006" s="320">
        <f>'CEI PROFª PATRÍCIA FERREIRA E S'!D11</f>
        <v/>
      </c>
    </row>
    <row r="3007" ht="15" customHeight="1" s="163">
      <c r="A3007" s="319">
        <f>'CEI PROFª PATRÍCIA FERREIRA E S'!I12</f>
        <v/>
      </c>
      <c r="B3007" s="320">
        <f>'CEI PROFª PATRÍCIA FERREIRA E S'!D12</f>
        <v/>
      </c>
    </row>
    <row r="3008" ht="15" customHeight="1" s="163">
      <c r="A3008" s="319">
        <f>'CEI PROFª PATRÍCIA FERREIRA E S'!I13</f>
        <v/>
      </c>
      <c r="B3008" s="320">
        <f>'CEI PROFª PATRÍCIA FERREIRA E S'!D13</f>
        <v/>
      </c>
    </row>
    <row r="3009" ht="15" customHeight="1" s="163">
      <c r="A3009" s="319">
        <f>'CEI PROFª PATRÍCIA FERREIRA E S'!I14</f>
        <v/>
      </c>
      <c r="B3009" s="320">
        <f>'CEI PROFª PATRÍCIA FERREIRA E S'!D14</f>
        <v/>
      </c>
    </row>
    <row r="3010" ht="15" customHeight="1" s="163">
      <c r="A3010" s="319">
        <f>'CEI PROFª PATRÍCIA FERREIRA E S'!I15</f>
        <v/>
      </c>
      <c r="B3010" s="320">
        <f>'CEI PROFª PATRÍCIA FERREIRA E S'!D15</f>
        <v/>
      </c>
    </row>
    <row r="3011" ht="15" customHeight="1" s="163">
      <c r="A3011" s="319">
        <f>'CEI PROFª PATRÍCIA FERREIRA E S'!I16</f>
        <v/>
      </c>
      <c r="B3011" s="320">
        <f>'CEI PROFª PATRÍCIA FERREIRA E S'!D16</f>
        <v/>
      </c>
    </row>
    <row r="3012" ht="15" customHeight="1" s="163">
      <c r="A3012" s="319">
        <f>'CEI PROFª PATRÍCIA FERREIRA E S'!I17</f>
        <v/>
      </c>
      <c r="B3012" s="320">
        <f>'CEI PROFª PATRÍCIA FERREIRA E S'!D17</f>
        <v/>
      </c>
    </row>
    <row r="3013" ht="15" customHeight="1" s="163">
      <c r="A3013" s="319">
        <f>'CEI PROFª PATRÍCIA FERREIRA E S'!I18</f>
        <v/>
      </c>
      <c r="B3013" s="320">
        <f>'CEI PROFª PATRÍCIA FERREIRA E S'!D18</f>
        <v/>
      </c>
    </row>
    <row r="3014" ht="15" customHeight="1" s="163">
      <c r="A3014" s="319">
        <f>'CEI PROFª PATRÍCIA FERREIRA E S'!I19</f>
        <v/>
      </c>
      <c r="B3014" s="320">
        <f>'CEI PROFª PATRÍCIA FERREIRA E S'!D19</f>
        <v/>
      </c>
    </row>
    <row r="3015" ht="15" customHeight="1" s="163">
      <c r="A3015" s="319">
        <f>'CEI PROFª PATRÍCIA FERREIRA E S'!I20</f>
        <v/>
      </c>
      <c r="B3015" s="320">
        <f>'CEI PROFª PATRÍCIA FERREIRA E S'!D20</f>
        <v/>
      </c>
    </row>
    <row r="3016" ht="15" customHeight="1" s="163">
      <c r="A3016" s="319">
        <f>'CEI PROFª PATRÍCIA FERREIRA E S'!I21</f>
        <v/>
      </c>
      <c r="B3016" s="320">
        <f>'CEI PROFª PATRÍCIA FERREIRA E S'!D21</f>
        <v/>
      </c>
    </row>
    <row r="3017" ht="15" customHeight="1" s="163">
      <c r="A3017" s="319">
        <f>'CEI PROFª PATRÍCIA FERREIRA E S'!I22</f>
        <v/>
      </c>
      <c r="B3017" s="320">
        <f>'CEI PROFª PATRÍCIA FERREIRA E S'!D22</f>
        <v/>
      </c>
    </row>
    <row r="3018" ht="15" customHeight="1" s="163">
      <c r="A3018" s="319">
        <f>'CEI PROFª PATRÍCIA FERREIRA E S'!I23</f>
        <v/>
      </c>
      <c r="B3018" s="320">
        <f>'CEI PROFª PATRÍCIA FERREIRA E S'!D23</f>
        <v/>
      </c>
    </row>
    <row r="3019" ht="15" customHeight="1" s="163">
      <c r="A3019" s="319">
        <f>'CEI PROFª PATRÍCIA FERREIRA E S'!I24</f>
        <v/>
      </c>
      <c r="B3019" s="320">
        <f>'CEI PROFª PATRÍCIA FERREIRA E S'!D24</f>
        <v/>
      </c>
    </row>
    <row r="3020" ht="15" customHeight="1" s="163">
      <c r="A3020" s="319">
        <f>'CEI PROFª PATRÍCIA FERREIRA E S'!I25</f>
        <v/>
      </c>
      <c r="B3020" s="320">
        <f>'CEI PROFª PATRÍCIA FERREIRA E S'!D25</f>
        <v/>
      </c>
    </row>
    <row r="3021" ht="15" customHeight="1" s="163">
      <c r="A3021" s="319">
        <f>'CEI PROFª PATRÍCIA FERREIRA E S'!I26</f>
        <v/>
      </c>
      <c r="B3021" s="320">
        <f>'CEI PROFª PATRÍCIA FERREIRA E S'!D26</f>
        <v/>
      </c>
    </row>
    <row r="3022" ht="15" customHeight="1" s="163">
      <c r="A3022" s="319">
        <f>'CEI PROFª PATRÍCIA FERREIRA E S'!I27</f>
        <v/>
      </c>
      <c r="B3022" s="320">
        <f>'CEI PROFª PATRÍCIA FERREIRA E S'!D27</f>
        <v/>
      </c>
    </row>
    <row r="3023" ht="15" customHeight="1" s="163">
      <c r="A3023" s="319">
        <f>'CEI DRA ZILDA ARNS NEUMANN'!I9</f>
        <v/>
      </c>
      <c r="B3023" s="320">
        <f>'CEI DRA ZILDA ARNS NEUMANN'!D9</f>
        <v/>
      </c>
    </row>
    <row r="3024" ht="15" customHeight="1" s="163">
      <c r="A3024" s="319">
        <f>'CEI DRA ZILDA ARNS NEUMANN'!I10</f>
        <v/>
      </c>
      <c r="B3024" s="320">
        <f>'CEI DRA ZILDA ARNS NEUMANN'!D10</f>
        <v/>
      </c>
    </row>
    <row r="3025" ht="15" customHeight="1" s="163">
      <c r="A3025" s="319">
        <f>'CEI DRA ZILDA ARNS NEUMANN'!I11</f>
        <v/>
      </c>
      <c r="B3025" s="320">
        <f>'CEI DRA ZILDA ARNS NEUMANN'!D11</f>
        <v/>
      </c>
    </row>
    <row r="3026" ht="15" customHeight="1" s="163">
      <c r="A3026" s="319">
        <f>'CEI DRA ZILDA ARNS NEUMANN'!I12</f>
        <v/>
      </c>
      <c r="B3026" s="320">
        <f>'CEI DRA ZILDA ARNS NEUMANN'!D12</f>
        <v/>
      </c>
    </row>
    <row r="3027" ht="15" customHeight="1" s="163">
      <c r="A3027" s="319">
        <f>'CEI DRA ZILDA ARNS NEUMANN'!I13</f>
        <v/>
      </c>
      <c r="B3027" s="320">
        <f>'CEI DRA ZILDA ARNS NEUMANN'!D13</f>
        <v/>
      </c>
    </row>
    <row r="3028" ht="15" customHeight="1" s="163">
      <c r="A3028" s="319">
        <f>'CEI DRA ZILDA ARNS NEUMANN'!I14</f>
        <v/>
      </c>
      <c r="B3028" s="320">
        <f>'CEI DRA ZILDA ARNS NEUMANN'!D14</f>
        <v/>
      </c>
    </row>
    <row r="3029" ht="15" customHeight="1" s="163">
      <c r="A3029" s="319">
        <f>'CEI DRA ZILDA ARNS NEUMANN'!I15</f>
        <v/>
      </c>
      <c r="B3029" s="320">
        <f>'CEI DRA ZILDA ARNS NEUMANN'!D15</f>
        <v/>
      </c>
    </row>
    <row r="3030" ht="15" customHeight="1" s="163">
      <c r="A3030" s="319">
        <f>'CEI DRA ZILDA ARNS NEUMANN'!I16</f>
        <v/>
      </c>
      <c r="B3030" s="320">
        <f>'CEI DRA ZILDA ARNS NEUMANN'!D16</f>
        <v/>
      </c>
    </row>
    <row r="3031" ht="15" customHeight="1" s="163">
      <c r="A3031" s="319">
        <f>'CEI DRA ZILDA ARNS NEUMANN'!I17</f>
        <v/>
      </c>
      <c r="B3031" s="320">
        <f>'CEI DRA ZILDA ARNS NEUMANN'!D17</f>
        <v/>
      </c>
    </row>
    <row r="3032" ht="15" customHeight="1" s="163">
      <c r="A3032" s="319">
        <f>'CEI DRA ZILDA ARNS NEUMANN'!I18</f>
        <v/>
      </c>
      <c r="B3032" s="320">
        <f>'CEI DRA ZILDA ARNS NEUMANN'!D18</f>
        <v/>
      </c>
    </row>
    <row r="3033" ht="15" customHeight="1" s="163">
      <c r="A3033" s="319">
        <f>'CEI DRA ZILDA ARNS NEUMANN'!I19</f>
        <v/>
      </c>
      <c r="B3033" s="320">
        <f>'CEI DRA ZILDA ARNS NEUMANN'!D19</f>
        <v/>
      </c>
    </row>
    <row r="3034" ht="15" customHeight="1" s="163">
      <c r="A3034" s="319">
        <f>'CEI DRA ZILDA ARNS NEUMANN'!I20</f>
        <v/>
      </c>
      <c r="B3034" s="320">
        <f>'CEI DRA ZILDA ARNS NEUMANN'!D20</f>
        <v/>
      </c>
    </row>
    <row r="3035" ht="15" customHeight="1" s="163">
      <c r="A3035" s="319">
        <f>'CEI DRA ZILDA ARNS NEUMANN'!I21</f>
        <v/>
      </c>
      <c r="B3035" s="320">
        <f>'CEI DRA ZILDA ARNS NEUMANN'!D21</f>
        <v/>
      </c>
    </row>
    <row r="3036" ht="15" customHeight="1" s="163">
      <c r="A3036" s="319">
        <f>'CEI DRA ZILDA ARNS NEUMANN'!I22</f>
        <v/>
      </c>
      <c r="B3036" s="320">
        <f>'CEI DRA ZILDA ARNS NEUMANN'!D22</f>
        <v/>
      </c>
    </row>
    <row r="3037" ht="15" customHeight="1" s="163">
      <c r="A3037" s="319">
        <f>'CEI DRA ZILDA ARNS NEUMANN'!I23</f>
        <v/>
      </c>
      <c r="B3037" s="320">
        <f>'CEI DRA ZILDA ARNS NEUMANN'!D23</f>
        <v/>
      </c>
    </row>
    <row r="3038" ht="15" customHeight="1" s="163">
      <c r="A3038" s="319">
        <f>'CEI DRA ZILDA ARNS NEUMANN'!I24</f>
        <v/>
      </c>
      <c r="B3038" s="320">
        <f>'CEI DRA ZILDA ARNS NEUMANN'!D24</f>
        <v/>
      </c>
    </row>
    <row r="3039" ht="15" customHeight="1" s="163">
      <c r="A3039" s="319">
        <f>'CEI DRA ZILDA ARNS NEUMANN'!I25</f>
        <v/>
      </c>
      <c r="B3039" s="320">
        <f>'CEI DRA ZILDA ARNS NEUMANN'!D25</f>
        <v/>
      </c>
    </row>
    <row r="3040" ht="15" customHeight="1" s="163">
      <c r="A3040" s="319">
        <f>'CEI DRA ZILDA ARNS NEUMANN'!I26</f>
        <v/>
      </c>
      <c r="B3040" s="320">
        <f>'CEI DRA ZILDA ARNS NEUMANN'!D26</f>
        <v/>
      </c>
    </row>
    <row r="3041" ht="15" customHeight="1" s="163">
      <c r="A3041" s="319">
        <f>'CEI DRA ZILDA ARNS NEUMANN'!I27</f>
        <v/>
      </c>
      <c r="B3041" s="320">
        <f>'CEI DRA ZILDA ARNS NEUMANN'!D27</f>
        <v/>
      </c>
    </row>
    <row r="3042" ht="15" customHeight="1" s="163">
      <c r="A3042" s="319">
        <f>'CEI DENISE BESSA DE OLIVA MAYA'!I9</f>
        <v/>
      </c>
      <c r="B3042" s="320">
        <f>'CEI DENISE BESSA DE OLIVA MAYA'!D9</f>
        <v/>
      </c>
    </row>
    <row r="3043" ht="15" customHeight="1" s="163">
      <c r="A3043" s="319">
        <f>'CEI DENISE BESSA DE OLIVA MAYA'!I10</f>
        <v/>
      </c>
      <c r="B3043" s="320">
        <f>'CEI DENISE BESSA DE OLIVA MAYA'!D10</f>
        <v/>
      </c>
    </row>
    <row r="3044" ht="15" customHeight="1" s="163">
      <c r="A3044" s="319">
        <f>'CEI DENISE BESSA DE OLIVA MAYA'!I11</f>
        <v/>
      </c>
      <c r="B3044" s="320">
        <f>'CEI DENISE BESSA DE OLIVA MAYA'!D11</f>
        <v/>
      </c>
    </row>
    <row r="3045" ht="15" customHeight="1" s="163">
      <c r="A3045" s="319">
        <f>'CEI DENISE BESSA DE OLIVA MAYA'!I12</f>
        <v/>
      </c>
      <c r="B3045" s="320">
        <f>'CEI DENISE BESSA DE OLIVA MAYA'!D12</f>
        <v/>
      </c>
    </row>
    <row r="3046" ht="15" customHeight="1" s="163">
      <c r="A3046" s="319">
        <f>'CEI DENISE BESSA DE OLIVA MAYA'!I13</f>
        <v/>
      </c>
      <c r="B3046" s="320">
        <f>'CEI DENISE BESSA DE OLIVA MAYA'!D13</f>
        <v/>
      </c>
    </row>
    <row r="3047" ht="15" customHeight="1" s="163">
      <c r="A3047" s="319">
        <f>'CEI DENISE BESSA DE OLIVA MAYA'!I14</f>
        <v/>
      </c>
      <c r="B3047" s="320">
        <f>'CEI DENISE BESSA DE OLIVA MAYA'!D14</f>
        <v/>
      </c>
    </row>
    <row r="3048" ht="15" customHeight="1" s="163">
      <c r="A3048" s="319">
        <f>'CEI DENISE BESSA DE OLIVA MAYA'!I15</f>
        <v/>
      </c>
      <c r="B3048" s="320">
        <f>'CEI DENISE BESSA DE OLIVA MAYA'!D15</f>
        <v/>
      </c>
    </row>
    <row r="3049" ht="15" customHeight="1" s="163">
      <c r="A3049" s="319">
        <f>'CEI DENISE BESSA DE OLIVA MAYA'!I16</f>
        <v/>
      </c>
      <c r="B3049" s="320">
        <f>'CEI DENISE BESSA DE OLIVA MAYA'!D16</f>
        <v/>
      </c>
    </row>
    <row r="3050" ht="15" customHeight="1" s="163">
      <c r="A3050" s="319">
        <f>'CEI DENISE BESSA DE OLIVA MAYA'!I17</f>
        <v/>
      </c>
      <c r="B3050" s="320">
        <f>'CEI DENISE BESSA DE OLIVA MAYA'!D17</f>
        <v/>
      </c>
    </row>
    <row r="3051" ht="15" customHeight="1" s="163">
      <c r="A3051" s="319">
        <f>'CEI DENISE BESSA DE OLIVA MAYA'!I18</f>
        <v/>
      </c>
      <c r="B3051" s="320">
        <f>'CEI DENISE BESSA DE OLIVA MAYA'!D18</f>
        <v/>
      </c>
    </row>
    <row r="3052" ht="15" customHeight="1" s="163">
      <c r="A3052" s="319">
        <f>'CEI DENISE BESSA DE OLIVA MAYA'!I19</f>
        <v/>
      </c>
      <c r="B3052" s="320">
        <f>'CEI DENISE BESSA DE OLIVA MAYA'!D19</f>
        <v/>
      </c>
    </row>
    <row r="3053" ht="15" customHeight="1" s="163">
      <c r="A3053" s="319">
        <f>'CEI DENISE BESSA DE OLIVA MAYA'!I20</f>
        <v/>
      </c>
      <c r="B3053" s="320">
        <f>'CEI DENISE BESSA DE OLIVA MAYA'!D20</f>
        <v/>
      </c>
    </row>
    <row r="3054" ht="15" customHeight="1" s="163">
      <c r="A3054" s="319">
        <f>'CEI DENISE BESSA DE OLIVA MAYA'!I21</f>
        <v/>
      </c>
      <c r="B3054" s="320">
        <f>'CEI DENISE BESSA DE OLIVA MAYA'!D21</f>
        <v/>
      </c>
    </row>
    <row r="3055" ht="15" customHeight="1" s="163">
      <c r="A3055" s="319">
        <f>'CEI DENISE BESSA DE OLIVA MAYA'!I22</f>
        <v/>
      </c>
      <c r="B3055" s="320">
        <f>'CEI DENISE BESSA DE OLIVA MAYA'!D22</f>
        <v/>
      </c>
    </row>
    <row r="3056" ht="15" customHeight="1" s="163">
      <c r="A3056" s="319">
        <f>'CEI DENISE BESSA DE OLIVA MAYA'!I23</f>
        <v/>
      </c>
      <c r="B3056" s="320">
        <f>'CEI DENISE BESSA DE OLIVA MAYA'!D23</f>
        <v/>
      </c>
    </row>
    <row r="3057" ht="15" customHeight="1" s="163">
      <c r="A3057" s="319">
        <f>'CEI DENISE BESSA DE OLIVA MAYA'!I24</f>
        <v/>
      </c>
      <c r="B3057" s="320">
        <f>'CEI DENISE BESSA DE OLIVA MAYA'!D24</f>
        <v/>
      </c>
    </row>
    <row r="3058" ht="15" customHeight="1" s="163">
      <c r="A3058" s="319">
        <f>'CEI DENISE BESSA DE OLIVA MAYA'!I25</f>
        <v/>
      </c>
      <c r="B3058" s="320">
        <f>'CEI DENISE BESSA DE OLIVA MAYA'!D25</f>
        <v/>
      </c>
    </row>
    <row r="3059" ht="15" customHeight="1" s="163">
      <c r="A3059" s="319">
        <f>'CEI DENISE BESSA DE OLIVA MAYA'!I26</f>
        <v/>
      </c>
      <c r="B3059" s="320">
        <f>'CEI DENISE BESSA DE OLIVA MAYA'!D26</f>
        <v/>
      </c>
    </row>
    <row r="3060" ht="15" customHeight="1" s="163">
      <c r="A3060" s="319">
        <f>'CEI DENISE BESSA DE OLIVA MAYA'!I27</f>
        <v/>
      </c>
      <c r="B3060" s="320">
        <f>'CEI DENISE BESSA DE OLIVA MAYA'!D27</f>
        <v/>
      </c>
    </row>
    <row r="3061" ht="15" customHeight="1" s="163">
      <c r="A3061" s="319">
        <f>'CEI GIUSEPPE-NEVA VOLONTERIO'!I9</f>
        <v/>
      </c>
      <c r="B3061" s="320">
        <f>'CEI GIUSEPPE-NEVA VOLONTERIO'!D9</f>
        <v/>
      </c>
    </row>
    <row r="3062" ht="15" customHeight="1" s="163">
      <c r="A3062" s="319">
        <f>'CEI GIUSEPPE-NEVA VOLONTERIO'!I10</f>
        <v/>
      </c>
      <c r="B3062" s="320">
        <f>'CEI GIUSEPPE-NEVA VOLONTERIO'!D10</f>
        <v/>
      </c>
    </row>
    <row r="3063" ht="15" customHeight="1" s="163">
      <c r="A3063" s="319">
        <f>'CEI GIUSEPPE-NEVA VOLONTERIO'!I11</f>
        <v/>
      </c>
      <c r="B3063" s="320">
        <f>'CEI GIUSEPPE-NEVA VOLONTERIO'!D11</f>
        <v/>
      </c>
    </row>
    <row r="3064" ht="15" customHeight="1" s="163">
      <c r="A3064" s="319">
        <f>'CEI GIUSEPPE-NEVA VOLONTERIO'!I12</f>
        <v/>
      </c>
      <c r="B3064" s="320">
        <f>'CEI GIUSEPPE-NEVA VOLONTERIO'!D12</f>
        <v/>
      </c>
    </row>
    <row r="3065" ht="15" customHeight="1" s="163">
      <c r="A3065" s="319">
        <f>'CEI GIUSEPPE-NEVA VOLONTERIO'!I13</f>
        <v/>
      </c>
      <c r="B3065" s="320">
        <f>'CEI GIUSEPPE-NEVA VOLONTERIO'!D13</f>
        <v/>
      </c>
    </row>
    <row r="3066" ht="15" customHeight="1" s="163">
      <c r="A3066" s="319">
        <f>'CEI GIUSEPPE-NEVA VOLONTERIO'!I14</f>
        <v/>
      </c>
      <c r="B3066" s="320">
        <f>'CEI GIUSEPPE-NEVA VOLONTERIO'!D14</f>
        <v/>
      </c>
    </row>
    <row r="3067" ht="15" customHeight="1" s="163">
      <c r="A3067" s="319">
        <f>'CEI GIUSEPPE-NEVA VOLONTERIO'!I15</f>
        <v/>
      </c>
      <c r="B3067" s="320">
        <f>'CEI GIUSEPPE-NEVA VOLONTERIO'!D15</f>
        <v/>
      </c>
    </row>
    <row r="3068" ht="15" customHeight="1" s="163">
      <c r="A3068" s="319">
        <f>'CEI GIUSEPPE-NEVA VOLONTERIO'!I16</f>
        <v/>
      </c>
      <c r="B3068" s="320">
        <f>'CEI GIUSEPPE-NEVA VOLONTERIO'!D16</f>
        <v/>
      </c>
    </row>
    <row r="3069" ht="15" customHeight="1" s="163">
      <c r="A3069" s="319">
        <f>'CEI GIUSEPPE-NEVA VOLONTERIO'!I17</f>
        <v/>
      </c>
      <c r="B3069" s="320">
        <f>'CEI GIUSEPPE-NEVA VOLONTERIO'!D17</f>
        <v/>
      </c>
    </row>
    <row r="3070" ht="15" customHeight="1" s="163">
      <c r="A3070" s="319">
        <f>'CEI GIUSEPPE-NEVA VOLONTERIO'!I18</f>
        <v/>
      </c>
      <c r="B3070" s="320">
        <f>'CEI GIUSEPPE-NEVA VOLONTERIO'!D18</f>
        <v/>
      </c>
    </row>
    <row r="3071" ht="15" customHeight="1" s="163">
      <c r="A3071" s="319">
        <f>'CEI GIUSEPPE-NEVA VOLONTERIO'!I19</f>
        <v/>
      </c>
      <c r="B3071" s="320">
        <f>'CEI GIUSEPPE-NEVA VOLONTERIO'!D19</f>
        <v/>
      </c>
    </row>
    <row r="3072" ht="15" customHeight="1" s="163">
      <c r="A3072" s="319">
        <f>'CEI GIUSEPPE-NEVA VOLONTERIO'!I20</f>
        <v/>
      </c>
      <c r="B3072" s="320">
        <f>'CEI GIUSEPPE-NEVA VOLONTERIO'!D20</f>
        <v/>
      </c>
    </row>
    <row r="3073" ht="15" customHeight="1" s="163">
      <c r="A3073" s="319">
        <f>'CEI GIUSEPPE-NEVA VOLONTERIO'!I21</f>
        <v/>
      </c>
      <c r="B3073" s="320">
        <f>'CEI GIUSEPPE-NEVA VOLONTERIO'!D21</f>
        <v/>
      </c>
    </row>
    <row r="3074" ht="15" customHeight="1" s="163">
      <c r="A3074" s="319">
        <f>'CEI GIUSEPPE-NEVA VOLONTERIO'!I22</f>
        <v/>
      </c>
      <c r="B3074" s="320">
        <f>'CEI GIUSEPPE-NEVA VOLONTERIO'!D22</f>
        <v/>
      </c>
    </row>
    <row r="3075" ht="15" customHeight="1" s="163">
      <c r="A3075" s="319">
        <f>'CEI GIUSEPPE-NEVA VOLONTERIO'!I23</f>
        <v/>
      </c>
      <c r="B3075" s="320">
        <f>'CEI GIUSEPPE-NEVA VOLONTERIO'!D23</f>
        <v/>
      </c>
    </row>
    <row r="3076" ht="15" customHeight="1" s="163">
      <c r="A3076" s="319">
        <f>'CEI GIUSEPPE-NEVA VOLONTERIO'!I24</f>
        <v/>
      </c>
      <c r="B3076" s="320">
        <f>'CEI GIUSEPPE-NEVA VOLONTERIO'!D24</f>
        <v/>
      </c>
    </row>
    <row r="3077" ht="15" customHeight="1" s="163">
      <c r="A3077" s="319">
        <f>'CEI GIUSEPPE-NEVA VOLONTERIO'!I25</f>
        <v/>
      </c>
      <c r="B3077" s="320">
        <f>'CEI GIUSEPPE-NEVA VOLONTERIO'!D25</f>
        <v/>
      </c>
    </row>
    <row r="3078" ht="15" customHeight="1" s="163">
      <c r="A3078" s="319">
        <f>'CEI GIUSEPPE-NEVA VOLONTERIO'!I26</f>
        <v/>
      </c>
      <c r="B3078" s="320">
        <f>'CEI GIUSEPPE-NEVA VOLONTERIO'!D26</f>
        <v/>
      </c>
    </row>
    <row r="3079" ht="15" customHeight="1" s="163">
      <c r="A3079" s="319">
        <f>'CEI GIUSEPPE-NEVA VOLONTERIO'!I27</f>
        <v/>
      </c>
      <c r="B3079" s="320">
        <f>'CEI GIUSEPPE-NEVA VOLONTERIO'!D27</f>
        <v/>
      </c>
    </row>
    <row r="3080" ht="15" customHeight="1" s="163">
      <c r="A3080" s="319">
        <f>'CENTRO DE EDUCAÇÃO INFANTIL LOT'!I9</f>
        <v/>
      </c>
      <c r="B3080" s="320">
        <f>'CENTRO DE EDUCAÇÃO INFANTIL LOT'!D9</f>
        <v/>
      </c>
    </row>
    <row r="3081" ht="15" customHeight="1" s="163">
      <c r="A3081" s="319">
        <f>'CENTRO DE EDUCAÇÃO INFANTIL LOT'!I10</f>
        <v/>
      </c>
      <c r="B3081" s="320">
        <f>'CENTRO DE EDUCAÇÃO INFANTIL LOT'!D10</f>
        <v/>
      </c>
    </row>
    <row r="3082" ht="15" customHeight="1" s="163">
      <c r="A3082" s="319">
        <f>'CENTRO DE EDUCAÇÃO INFANTIL LOT'!I11</f>
        <v/>
      </c>
      <c r="B3082" s="320">
        <f>'CENTRO DE EDUCAÇÃO INFANTIL LOT'!D11</f>
        <v/>
      </c>
    </row>
    <row r="3083" ht="15" customHeight="1" s="163">
      <c r="A3083" s="319">
        <f>'CENTRO DE EDUCAÇÃO INFANTIL LOT'!I12</f>
        <v/>
      </c>
      <c r="B3083" s="320">
        <f>'CENTRO DE EDUCAÇÃO INFANTIL LOT'!D12</f>
        <v/>
      </c>
    </row>
    <row r="3084" ht="15" customHeight="1" s="163">
      <c r="A3084" s="319">
        <f>'CENTRO DE EDUCAÇÃO INFANTIL LOT'!I13</f>
        <v/>
      </c>
      <c r="B3084" s="320">
        <f>'CENTRO DE EDUCAÇÃO INFANTIL LOT'!D13</f>
        <v/>
      </c>
    </row>
    <row r="3085" ht="15" customHeight="1" s="163">
      <c r="A3085" s="319">
        <f>'CENTRO DE EDUCAÇÃO INFANTIL LOT'!I14</f>
        <v/>
      </c>
      <c r="B3085" s="320">
        <f>'CENTRO DE EDUCAÇÃO INFANTIL LOT'!D14</f>
        <v/>
      </c>
    </row>
    <row r="3086" ht="15" customHeight="1" s="163">
      <c r="A3086" s="319">
        <f>'CENTRO DE EDUCAÇÃO INFANTIL LOT'!I15</f>
        <v/>
      </c>
      <c r="B3086" s="320">
        <f>'CENTRO DE EDUCAÇÃO INFANTIL LOT'!D15</f>
        <v/>
      </c>
    </row>
    <row r="3087" ht="15" customHeight="1" s="163">
      <c r="A3087" s="319">
        <f>'CENTRO DE EDUCAÇÃO INFANTIL LOT'!I16</f>
        <v/>
      </c>
      <c r="B3087" s="320">
        <f>'CENTRO DE EDUCAÇÃO INFANTIL LOT'!D16</f>
        <v/>
      </c>
    </row>
    <row r="3088" ht="15" customHeight="1" s="163">
      <c r="A3088" s="319">
        <f>'CENTRO DE EDUCAÇÃO INFANTIL LOT'!I17</f>
        <v/>
      </c>
      <c r="B3088" s="320">
        <f>'CENTRO DE EDUCAÇÃO INFANTIL LOT'!D17</f>
        <v/>
      </c>
    </row>
    <row r="3089" ht="15" customHeight="1" s="163">
      <c r="A3089" s="319">
        <f>'CENTRO DE EDUCAÇÃO INFANTIL LOT'!I18</f>
        <v/>
      </c>
      <c r="B3089" s="320">
        <f>'CENTRO DE EDUCAÇÃO INFANTIL LOT'!D18</f>
        <v/>
      </c>
    </row>
    <row r="3090" ht="15" customHeight="1" s="163">
      <c r="A3090" s="319">
        <f>'CENTRO DE EDUCAÇÃO INFANTIL LOT'!I19</f>
        <v/>
      </c>
      <c r="B3090" s="320">
        <f>'CENTRO DE EDUCAÇÃO INFANTIL LOT'!D19</f>
        <v/>
      </c>
    </row>
    <row r="3091" ht="15" customHeight="1" s="163">
      <c r="A3091" s="319">
        <f>'CENTRO DE EDUCAÇÃO INFANTIL LOT'!I20</f>
        <v/>
      </c>
      <c r="B3091" s="320">
        <f>'CENTRO DE EDUCAÇÃO INFANTIL LOT'!D20</f>
        <v/>
      </c>
    </row>
    <row r="3092" ht="15" customHeight="1" s="163">
      <c r="A3092" s="319">
        <f>'CENTRO DE EDUCAÇÃO INFANTIL LOT'!I21</f>
        <v/>
      </c>
      <c r="B3092" s="320">
        <f>'CENTRO DE EDUCAÇÃO INFANTIL LOT'!D21</f>
        <v/>
      </c>
    </row>
    <row r="3093" ht="15" customHeight="1" s="163">
      <c r="A3093" s="319">
        <f>'CENTRO DE EDUCAÇÃO INFANTIL LOT'!I22</f>
        <v/>
      </c>
      <c r="B3093" s="320">
        <f>'CENTRO DE EDUCAÇÃO INFANTIL LOT'!D22</f>
        <v/>
      </c>
    </row>
    <row r="3094" ht="15" customHeight="1" s="163">
      <c r="A3094" s="319">
        <f>'CENTRO DE EDUCAÇÃO INFANTIL LOT'!I23</f>
        <v/>
      </c>
      <c r="B3094" s="320">
        <f>'CENTRO DE EDUCAÇÃO INFANTIL LOT'!D23</f>
        <v/>
      </c>
    </row>
    <row r="3095" ht="15" customHeight="1" s="163">
      <c r="A3095" s="319">
        <f>'CENTRO DE EDUCAÇÃO INFANTIL LOT'!I24</f>
        <v/>
      </c>
      <c r="B3095" s="320">
        <f>'CENTRO DE EDUCAÇÃO INFANTIL LOT'!D24</f>
        <v/>
      </c>
    </row>
    <row r="3096" ht="15" customHeight="1" s="163">
      <c r="A3096" s="319">
        <f>'CENTRO DE EDUCAÇÃO INFANTIL LOT'!I25</f>
        <v/>
      </c>
      <c r="B3096" s="320">
        <f>'CENTRO DE EDUCAÇÃO INFANTIL LOT'!D25</f>
        <v/>
      </c>
    </row>
    <row r="3097" ht="15" customHeight="1" s="163">
      <c r="A3097" s="319">
        <f>'CENTRO DE EDUCAÇÃO INFANTIL LOT'!I26</f>
        <v/>
      </c>
      <c r="B3097" s="320">
        <f>'CENTRO DE EDUCAÇÃO INFANTIL LOT'!D26</f>
        <v/>
      </c>
    </row>
    <row r="3098" ht="15" customHeight="1" s="163">
      <c r="A3098" s="319">
        <f>'CENTRO DE EDUCAÇÃO INFANTIL LOT'!I27</f>
        <v/>
      </c>
      <c r="B3098" s="320">
        <f>'CENTRO DE EDUCAÇÃO INFANTIL LOT'!D27</f>
        <v/>
      </c>
    </row>
    <row r="3099" ht="15" customHeight="1" s="163">
      <c r="A3099" s="319">
        <f>'CEI IRINEU MARINHO'!I9</f>
        <v/>
      </c>
      <c r="B3099" s="320">
        <f>'CEI IRINEU MARINHO'!D9</f>
        <v/>
      </c>
    </row>
    <row r="3100" ht="15" customHeight="1" s="163">
      <c r="A3100" s="319">
        <f>'CEI IRINEU MARINHO'!I10</f>
        <v/>
      </c>
      <c r="B3100" s="320">
        <f>'CEI IRINEU MARINHO'!D10</f>
        <v/>
      </c>
    </row>
    <row r="3101" ht="15" customHeight="1" s="163">
      <c r="A3101" s="319">
        <f>'CEI IRINEU MARINHO'!I11</f>
        <v/>
      </c>
      <c r="B3101" s="320">
        <f>'CEI IRINEU MARINHO'!D11</f>
        <v/>
      </c>
    </row>
    <row r="3102" ht="15" customHeight="1" s="163">
      <c r="A3102" s="319">
        <f>'CEI IRINEU MARINHO'!I12</f>
        <v/>
      </c>
      <c r="B3102" s="320">
        <f>'CEI IRINEU MARINHO'!D12</f>
        <v/>
      </c>
    </row>
    <row r="3103" ht="15" customHeight="1" s="163">
      <c r="A3103" s="319">
        <f>'CEI IRINEU MARINHO'!I13</f>
        <v/>
      </c>
      <c r="B3103" s="320">
        <f>'CEI IRINEU MARINHO'!D13</f>
        <v/>
      </c>
    </row>
    <row r="3104" ht="15" customHeight="1" s="163">
      <c r="A3104" s="319">
        <f>'CEI IRINEU MARINHO'!I14</f>
        <v/>
      </c>
      <c r="B3104" s="320">
        <f>'CEI IRINEU MARINHO'!D14</f>
        <v/>
      </c>
    </row>
    <row r="3105" ht="15" customHeight="1" s="163">
      <c r="A3105" s="319">
        <f>'CEI IRINEU MARINHO'!I15</f>
        <v/>
      </c>
      <c r="B3105" s="320">
        <f>'CEI IRINEU MARINHO'!D15</f>
        <v/>
      </c>
    </row>
    <row r="3106" ht="15" customHeight="1" s="163">
      <c r="A3106" s="319">
        <f>'CEI IRINEU MARINHO'!I16</f>
        <v/>
      </c>
      <c r="B3106" s="320">
        <f>'CEI IRINEU MARINHO'!D16</f>
        <v/>
      </c>
    </row>
    <row r="3107" ht="15" customHeight="1" s="163">
      <c r="A3107" s="319">
        <f>'CEI IRINEU MARINHO'!I17</f>
        <v/>
      </c>
      <c r="B3107" s="320">
        <f>'CEI IRINEU MARINHO'!D17</f>
        <v/>
      </c>
    </row>
    <row r="3108" ht="15" customHeight="1" s="163">
      <c r="A3108" s="319">
        <f>'CEI IRINEU MARINHO'!I18</f>
        <v/>
      </c>
      <c r="B3108" s="320">
        <f>'CEI IRINEU MARINHO'!D18</f>
        <v/>
      </c>
    </row>
    <row r="3109" ht="15" customHeight="1" s="163">
      <c r="A3109" s="319">
        <f>'CEI IRINEU MARINHO'!I19</f>
        <v/>
      </c>
      <c r="B3109" s="320">
        <f>'CEI IRINEU MARINHO'!D19</f>
        <v/>
      </c>
    </row>
    <row r="3110" ht="15" customHeight="1" s="163">
      <c r="A3110" s="319">
        <f>'CEI IRINEU MARINHO'!I20</f>
        <v/>
      </c>
      <c r="B3110" s="320">
        <f>'CEI IRINEU MARINHO'!D20</f>
        <v/>
      </c>
    </row>
    <row r="3111" ht="15" customHeight="1" s="163">
      <c r="A3111" s="319">
        <f>'CEI IRINEU MARINHO'!I21</f>
        <v/>
      </c>
      <c r="B3111" s="320">
        <f>'CEI IRINEU MARINHO'!D21</f>
        <v/>
      </c>
    </row>
    <row r="3112" ht="15" customHeight="1" s="163">
      <c r="A3112" s="319">
        <f>'CEI IRINEU MARINHO'!I22</f>
        <v/>
      </c>
      <c r="B3112" s="320">
        <f>'CEI IRINEU MARINHO'!D22</f>
        <v/>
      </c>
    </row>
    <row r="3113" ht="15" customHeight="1" s="163">
      <c r="A3113" s="319">
        <f>'CEI IRINEU MARINHO'!I23</f>
        <v/>
      </c>
      <c r="B3113" s="320">
        <f>'CEI IRINEU MARINHO'!D23</f>
        <v/>
      </c>
    </row>
    <row r="3114" ht="15" customHeight="1" s="163">
      <c r="A3114" s="319">
        <f>'CEI IRINEU MARINHO'!I24</f>
        <v/>
      </c>
      <c r="B3114" s="320">
        <f>'CEI IRINEU MARINHO'!D24</f>
        <v/>
      </c>
    </row>
    <row r="3115" ht="15" customHeight="1" s="163">
      <c r="A3115" s="319">
        <f>'CEI IRINEU MARINHO'!I25</f>
        <v/>
      </c>
      <c r="B3115" s="320">
        <f>'CEI IRINEU MARINHO'!D25</f>
        <v/>
      </c>
    </row>
    <row r="3116" ht="15" customHeight="1" s="163">
      <c r="A3116" s="319">
        <f>'CEI IRINEU MARINHO'!I26</f>
        <v/>
      </c>
      <c r="B3116" s="320">
        <f>'CEI IRINEU MARINHO'!D26</f>
        <v/>
      </c>
    </row>
    <row r="3117" ht="15" customHeight="1" s="163">
      <c r="A3117" s="319">
        <f>'CEI IRINEU MARINHO'!I27</f>
        <v/>
      </c>
      <c r="B3117" s="320">
        <f>'CEI IRINEU MARINHO'!D27</f>
        <v/>
      </c>
    </row>
    <row r="3118" ht="15" customHeight="1" s="163">
      <c r="A3118" s="319">
        <f>'CEI OSWALDO CRUZ'!I9</f>
        <v/>
      </c>
      <c r="B3118" s="320">
        <f>'CEI OSWALDO CRUZ'!D9</f>
        <v/>
      </c>
    </row>
    <row r="3119" ht="15" customHeight="1" s="163">
      <c r="A3119" s="319">
        <f>'CEI OSWALDO CRUZ'!I10</f>
        <v/>
      </c>
      <c r="B3119" s="320">
        <f>'CEI OSWALDO CRUZ'!D10</f>
        <v/>
      </c>
    </row>
    <row r="3120" ht="15" customHeight="1" s="163">
      <c r="A3120" s="319">
        <f>'CEI OSWALDO CRUZ'!I11</f>
        <v/>
      </c>
      <c r="B3120" s="320">
        <f>'CEI OSWALDO CRUZ'!D11</f>
        <v/>
      </c>
    </row>
    <row r="3121" ht="15" customHeight="1" s="163">
      <c r="A3121" s="319">
        <f>'CEI OSWALDO CRUZ'!I12</f>
        <v/>
      </c>
      <c r="B3121" s="320">
        <f>'CEI OSWALDO CRUZ'!D12</f>
        <v/>
      </c>
    </row>
    <row r="3122" ht="15" customHeight="1" s="163">
      <c r="A3122" s="319">
        <f>'CEI OSWALDO CRUZ'!I13</f>
        <v/>
      </c>
      <c r="B3122" s="320">
        <f>'CEI OSWALDO CRUZ'!D13</f>
        <v/>
      </c>
    </row>
    <row r="3123" ht="15" customHeight="1" s="163">
      <c r="A3123" s="319">
        <f>'CEI OSWALDO CRUZ'!I14</f>
        <v/>
      </c>
      <c r="B3123" s="320">
        <f>'CEI OSWALDO CRUZ'!D14</f>
        <v/>
      </c>
    </row>
    <row r="3124" ht="15" customHeight="1" s="163">
      <c r="A3124" s="319">
        <f>'CEI OSWALDO CRUZ'!I15</f>
        <v/>
      </c>
      <c r="B3124" s="320">
        <f>'CEI OSWALDO CRUZ'!D15</f>
        <v/>
      </c>
    </row>
    <row r="3125" ht="15" customHeight="1" s="163">
      <c r="A3125" s="319">
        <f>'CEI OSWALDO CRUZ'!I16</f>
        <v/>
      </c>
      <c r="B3125" s="320">
        <f>'CEI OSWALDO CRUZ'!D16</f>
        <v/>
      </c>
    </row>
    <row r="3126" ht="15" customHeight="1" s="163">
      <c r="A3126" s="319">
        <f>'CEI OSWALDO CRUZ'!I17</f>
        <v/>
      </c>
      <c r="B3126" s="320">
        <f>'CEI OSWALDO CRUZ'!D17</f>
        <v/>
      </c>
    </row>
    <row r="3127" ht="15" customHeight="1" s="163">
      <c r="A3127" s="319">
        <f>'CEI OSWALDO CRUZ'!I18</f>
        <v/>
      </c>
      <c r="B3127" s="320">
        <f>'CEI OSWALDO CRUZ'!D18</f>
        <v/>
      </c>
    </row>
    <row r="3128" ht="15" customHeight="1" s="163">
      <c r="A3128" s="319">
        <f>'CEI OSWALDO CRUZ'!I19</f>
        <v/>
      </c>
      <c r="B3128" s="320">
        <f>'CEI OSWALDO CRUZ'!D19</f>
        <v/>
      </c>
    </row>
    <row r="3129" ht="15" customHeight="1" s="163">
      <c r="A3129" s="319">
        <f>'CEI OSWALDO CRUZ'!I20</f>
        <v/>
      </c>
      <c r="B3129" s="320">
        <f>'CEI OSWALDO CRUZ'!D20</f>
        <v/>
      </c>
    </row>
    <row r="3130" ht="15" customHeight="1" s="163">
      <c r="A3130" s="319">
        <f>'CEI OSWALDO CRUZ'!I21</f>
        <v/>
      </c>
      <c r="B3130" s="320">
        <f>'CEI OSWALDO CRUZ'!D21</f>
        <v/>
      </c>
    </row>
    <row r="3131" ht="15" customHeight="1" s="163">
      <c r="A3131" s="319">
        <f>'CEI OSWALDO CRUZ'!I22</f>
        <v/>
      </c>
      <c r="B3131" s="320">
        <f>'CEI OSWALDO CRUZ'!D22</f>
        <v/>
      </c>
    </row>
    <row r="3132" ht="15" customHeight="1" s="163">
      <c r="A3132" s="319">
        <f>'CEI OSWALDO CRUZ'!I23</f>
        <v/>
      </c>
      <c r="B3132" s="320">
        <f>'CEI OSWALDO CRUZ'!D23</f>
        <v/>
      </c>
    </row>
    <row r="3133" ht="15" customHeight="1" s="163">
      <c r="A3133" s="319">
        <f>'CEI OSWALDO CRUZ'!I24</f>
        <v/>
      </c>
      <c r="B3133" s="320">
        <f>'CEI OSWALDO CRUZ'!D24</f>
        <v/>
      </c>
    </row>
    <row r="3134" ht="15" customHeight="1" s="163">
      <c r="A3134" s="319">
        <f>'CEI OSWALDO CRUZ'!I25</f>
        <v/>
      </c>
      <c r="B3134" s="320">
        <f>'CEI OSWALDO CRUZ'!D25</f>
        <v/>
      </c>
    </row>
    <row r="3135" ht="15" customHeight="1" s="163">
      <c r="A3135" s="319">
        <f>'CEI OSWALDO CRUZ'!I26</f>
        <v/>
      </c>
      <c r="B3135" s="320">
        <f>'CEI OSWALDO CRUZ'!D26</f>
        <v/>
      </c>
    </row>
    <row r="3136" ht="15" customHeight="1" s="163">
      <c r="A3136" s="319">
        <f>'CEI OSWALDO CRUZ'!I27</f>
        <v/>
      </c>
      <c r="B3136" s="320">
        <f>'CEI OSWALDO CRUZ'!D27</f>
        <v/>
      </c>
    </row>
    <row r="3137" ht="15" customHeight="1" s="163">
      <c r="A3137" s="319">
        <f>'CEI ANA CAROLINA TELLES'!I9</f>
        <v/>
      </c>
      <c r="B3137" s="320">
        <f>'CEI ANA CAROLINA TELLES'!D9</f>
        <v/>
      </c>
    </row>
    <row r="3138" ht="15" customHeight="1" s="163">
      <c r="A3138" s="319">
        <f>'CEI ANA CAROLINA TELLES'!I10</f>
        <v/>
      </c>
      <c r="B3138" s="320">
        <f>'CEI ANA CAROLINA TELLES'!D10</f>
        <v/>
      </c>
    </row>
    <row r="3139" ht="15" customHeight="1" s="163">
      <c r="A3139" s="319">
        <f>'CEI ANA CAROLINA TELLES'!I11</f>
        <v/>
      </c>
      <c r="B3139" s="320">
        <f>'CEI ANA CAROLINA TELLES'!D11</f>
        <v/>
      </c>
    </row>
    <row r="3140" ht="15" customHeight="1" s="163">
      <c r="A3140" s="319">
        <f>'CEI ANA CAROLINA TELLES'!I12</f>
        <v/>
      </c>
      <c r="B3140" s="320">
        <f>'CEI ANA CAROLINA TELLES'!D12</f>
        <v/>
      </c>
    </row>
    <row r="3141" ht="15" customHeight="1" s="163">
      <c r="A3141" s="319">
        <f>'CEI ANA CAROLINA TELLES'!I13</f>
        <v/>
      </c>
      <c r="B3141" s="320">
        <f>'CEI ANA CAROLINA TELLES'!D13</f>
        <v/>
      </c>
    </row>
    <row r="3142" ht="15" customHeight="1" s="163">
      <c r="A3142" s="319">
        <f>'CEI ANA CAROLINA TELLES'!I14</f>
        <v/>
      </c>
      <c r="B3142" s="320">
        <f>'CEI ANA CAROLINA TELLES'!D14</f>
        <v/>
      </c>
    </row>
    <row r="3143" ht="15" customHeight="1" s="163">
      <c r="A3143" s="319">
        <f>'CEI ANA CAROLINA TELLES'!I15</f>
        <v/>
      </c>
      <c r="B3143" s="320">
        <f>'CEI ANA CAROLINA TELLES'!D15</f>
        <v/>
      </c>
    </row>
    <row r="3144" ht="15" customHeight="1" s="163">
      <c r="A3144" s="319">
        <f>'CEI ANA CAROLINA TELLES'!I16</f>
        <v/>
      </c>
      <c r="B3144" s="320">
        <f>'CEI ANA CAROLINA TELLES'!D16</f>
        <v/>
      </c>
    </row>
    <row r="3145" ht="15" customHeight="1" s="163">
      <c r="A3145" s="319">
        <f>'CEI ANA CAROLINA TELLES'!I17</f>
        <v/>
      </c>
      <c r="B3145" s="320">
        <f>'CEI ANA CAROLINA TELLES'!D17</f>
        <v/>
      </c>
    </row>
    <row r="3146" ht="15" customHeight="1" s="163">
      <c r="A3146" s="319">
        <f>'CEI ANA CAROLINA TELLES'!I18</f>
        <v/>
      </c>
      <c r="B3146" s="320">
        <f>'CEI ANA CAROLINA TELLES'!D18</f>
        <v/>
      </c>
    </row>
    <row r="3147" ht="15" customHeight="1" s="163">
      <c r="A3147" s="319">
        <f>'CEI ANA CAROLINA TELLES'!I19</f>
        <v/>
      </c>
      <c r="B3147" s="320">
        <f>'CEI ANA CAROLINA TELLES'!D19</f>
        <v/>
      </c>
    </row>
    <row r="3148" ht="15" customHeight="1" s="163">
      <c r="A3148" s="319">
        <f>'CEI ANA CAROLINA TELLES'!I20</f>
        <v/>
      </c>
      <c r="B3148" s="320">
        <f>'CEI ANA CAROLINA TELLES'!D20</f>
        <v/>
      </c>
    </row>
    <row r="3149" ht="15" customHeight="1" s="163">
      <c r="A3149" s="319">
        <f>'CEI ANA CAROLINA TELLES'!I21</f>
        <v/>
      </c>
      <c r="B3149" s="320">
        <f>'CEI ANA CAROLINA TELLES'!D21</f>
        <v/>
      </c>
    </row>
    <row r="3150" ht="15" customHeight="1" s="163">
      <c r="A3150" s="319">
        <f>'CEI ANA CAROLINA TELLES'!I22</f>
        <v/>
      </c>
      <c r="B3150" s="320">
        <f>'CEI ANA CAROLINA TELLES'!D22</f>
        <v/>
      </c>
    </row>
    <row r="3151" ht="15" customHeight="1" s="163">
      <c r="A3151" s="319">
        <f>'CEI ANA CAROLINA TELLES'!I23</f>
        <v/>
      </c>
      <c r="B3151" s="320">
        <f>'CEI ANA CAROLINA TELLES'!D23</f>
        <v/>
      </c>
    </row>
    <row r="3152" ht="15" customHeight="1" s="163">
      <c r="A3152" s="319">
        <f>'CEI ANA CAROLINA TELLES'!I24</f>
        <v/>
      </c>
      <c r="B3152" s="320">
        <f>'CEI ANA CAROLINA TELLES'!D24</f>
        <v/>
      </c>
    </row>
    <row r="3153" ht="15" customHeight="1" s="163">
      <c r="A3153" s="319">
        <f>'CEI ANA CAROLINA TELLES'!I25</f>
        <v/>
      </c>
      <c r="B3153" s="320">
        <f>'CEI ANA CAROLINA TELLES'!D25</f>
        <v/>
      </c>
    </row>
    <row r="3154" ht="15" customHeight="1" s="163">
      <c r="A3154" s="319">
        <f>'CEI ANA CAROLINA TELLES'!I26</f>
        <v/>
      </c>
      <c r="B3154" s="320">
        <f>'CEI ANA CAROLINA TELLES'!D26</f>
        <v/>
      </c>
    </row>
    <row r="3155" ht="15" customHeight="1" s="163">
      <c r="A3155" s="319">
        <f>'CEI ANA CAROLINA TELLES'!I27</f>
        <v/>
      </c>
      <c r="B3155" s="320">
        <f>'CEI ANA CAROLINA TELLES'!D27</f>
        <v/>
      </c>
    </row>
    <row r="3156" ht="15" customHeight="1" s="163">
      <c r="A3156" s="319">
        <f>'CEI JOSÉ GONÇALVES DA MOTTA'!I9</f>
        <v/>
      </c>
      <c r="B3156" s="320">
        <f>'CEI JOSÉ GONÇALVES DA MOTTA'!D9</f>
        <v/>
      </c>
    </row>
    <row r="3157" ht="15" customHeight="1" s="163">
      <c r="A3157" s="319">
        <f>'CEI JOSÉ GONÇALVES DA MOTTA'!I10</f>
        <v/>
      </c>
      <c r="B3157" s="320">
        <f>'CEI JOSÉ GONÇALVES DA MOTTA'!D10</f>
        <v/>
      </c>
    </row>
    <row r="3158" ht="15" customHeight="1" s="163">
      <c r="A3158" s="319">
        <f>'CEI JOSÉ GONÇALVES DA MOTTA'!I11</f>
        <v/>
      </c>
      <c r="B3158" s="320">
        <f>'CEI JOSÉ GONÇALVES DA MOTTA'!D11</f>
        <v/>
      </c>
    </row>
    <row r="3159" ht="15" customHeight="1" s="163">
      <c r="A3159" s="319">
        <f>'CEI JOSÉ GONÇALVES DA MOTTA'!I12</f>
        <v/>
      </c>
      <c r="B3159" s="320">
        <f>'CEI JOSÉ GONÇALVES DA MOTTA'!D12</f>
        <v/>
      </c>
    </row>
    <row r="3160" ht="15" customHeight="1" s="163">
      <c r="A3160" s="319">
        <f>'CEI JOSÉ GONÇALVES DA MOTTA'!I13</f>
        <v/>
      </c>
      <c r="B3160" s="320">
        <f>'CEI JOSÉ GONÇALVES DA MOTTA'!D13</f>
        <v/>
      </c>
    </row>
    <row r="3161" ht="15" customHeight="1" s="163">
      <c r="A3161" s="319">
        <f>'CEI JOSÉ GONÇALVES DA MOTTA'!I14</f>
        <v/>
      </c>
      <c r="B3161" s="320">
        <f>'CEI JOSÉ GONÇALVES DA MOTTA'!D14</f>
        <v/>
      </c>
    </row>
    <row r="3162" ht="15" customHeight="1" s="163">
      <c r="A3162" s="319">
        <f>'CEI JOSÉ GONÇALVES DA MOTTA'!I15</f>
        <v/>
      </c>
      <c r="B3162" s="320">
        <f>'CEI JOSÉ GONÇALVES DA MOTTA'!D15</f>
        <v/>
      </c>
    </row>
    <row r="3163" ht="15" customHeight="1" s="163">
      <c r="A3163" s="319">
        <f>'CEI JOSÉ GONÇALVES DA MOTTA'!I16</f>
        <v/>
      </c>
      <c r="B3163" s="320">
        <f>'CEI JOSÉ GONÇALVES DA MOTTA'!D16</f>
        <v/>
      </c>
    </row>
    <row r="3164" ht="15" customHeight="1" s="163">
      <c r="A3164" s="319">
        <f>'CEI JOSÉ GONÇALVES DA MOTTA'!I17</f>
        <v/>
      </c>
      <c r="B3164" s="320">
        <f>'CEI JOSÉ GONÇALVES DA MOTTA'!D17</f>
        <v/>
      </c>
    </row>
    <row r="3165" ht="15" customHeight="1" s="163">
      <c r="A3165" s="319">
        <f>'CEI JOSÉ GONÇALVES DA MOTTA'!I18</f>
        <v/>
      </c>
      <c r="B3165" s="320">
        <f>'CEI JOSÉ GONÇALVES DA MOTTA'!D18</f>
        <v/>
      </c>
    </row>
    <row r="3166" ht="15" customHeight="1" s="163">
      <c r="A3166" s="319">
        <f>'CEI JOSÉ GONÇALVES DA MOTTA'!I19</f>
        <v/>
      </c>
      <c r="B3166" s="320">
        <f>'CEI JOSÉ GONÇALVES DA MOTTA'!D19</f>
        <v/>
      </c>
    </row>
    <row r="3167" ht="15" customHeight="1" s="163">
      <c r="A3167" s="319">
        <f>'CEI JOSÉ GONÇALVES DA MOTTA'!I20</f>
        <v/>
      </c>
      <c r="B3167" s="320">
        <f>'CEI JOSÉ GONÇALVES DA MOTTA'!D20</f>
        <v/>
      </c>
    </row>
    <row r="3168" ht="15" customHeight="1" s="163">
      <c r="A3168" s="319">
        <f>'CEI JOSÉ GONÇALVES DA MOTTA'!I21</f>
        <v/>
      </c>
      <c r="B3168" s="320">
        <f>'CEI JOSÉ GONÇALVES DA MOTTA'!D21</f>
        <v/>
      </c>
    </row>
    <row r="3169" ht="15" customHeight="1" s="163">
      <c r="A3169" s="319">
        <f>'CEI JOSÉ GONÇALVES DA MOTTA'!I22</f>
        <v/>
      </c>
      <c r="B3169" s="320">
        <f>'CEI JOSÉ GONÇALVES DA MOTTA'!D22</f>
        <v/>
      </c>
    </row>
    <row r="3170" ht="15" customHeight="1" s="163">
      <c r="A3170" s="319">
        <f>'CEI JOSÉ GONÇALVES DA MOTTA'!I23</f>
        <v/>
      </c>
      <c r="B3170" s="320">
        <f>'CEI JOSÉ GONÇALVES DA MOTTA'!D23</f>
        <v/>
      </c>
    </row>
    <row r="3171" ht="15" customHeight="1" s="163">
      <c r="A3171" s="319">
        <f>'CEI JOSÉ GONÇALVES DA MOTTA'!I24</f>
        <v/>
      </c>
      <c r="B3171" s="320">
        <f>'CEI JOSÉ GONÇALVES DA MOTTA'!D24</f>
        <v/>
      </c>
    </row>
    <row r="3172" ht="15" customHeight="1" s="163">
      <c r="A3172" s="319">
        <f>'CEI JOSÉ GONÇALVES DA MOTTA'!I25</f>
        <v/>
      </c>
      <c r="B3172" s="320">
        <f>'CEI JOSÉ GONÇALVES DA MOTTA'!D25</f>
        <v/>
      </c>
    </row>
    <row r="3173" ht="15" customHeight="1" s="163">
      <c r="A3173" s="319">
        <f>'CEI JOSÉ GONÇALVES DA MOTTA'!I26</f>
        <v/>
      </c>
      <c r="B3173" s="320">
        <f>'CEI JOSÉ GONÇALVES DA MOTTA'!D26</f>
        <v/>
      </c>
    </row>
    <row r="3174" ht="15" customHeight="1" s="163">
      <c r="A3174" s="319">
        <f>'CEI JOSÉ GONÇALVES DA MOTTA'!I27</f>
        <v/>
      </c>
      <c r="B3174" s="320">
        <f>'CEI JOSÉ GONÇALVES DA MOTTA'!D27</f>
        <v/>
      </c>
    </row>
    <row r="3175" ht="15" customHeight="1" s="163">
      <c r="A3175" s="319">
        <f>'CEI SAGRADA FAMÍLIA'!I9</f>
        <v/>
      </c>
      <c r="B3175" s="320">
        <f>'CEI SAGRADA FAMÍLIA'!D9</f>
        <v/>
      </c>
    </row>
    <row r="3176" ht="15" customHeight="1" s="163">
      <c r="A3176" s="319">
        <f>'CEI SAGRADA FAMÍLIA'!I10</f>
        <v/>
      </c>
      <c r="B3176" s="320">
        <f>'CEI SAGRADA FAMÍLIA'!D10</f>
        <v/>
      </c>
    </row>
    <row r="3177" ht="15" customHeight="1" s="163">
      <c r="A3177" s="319">
        <f>'CEI SAGRADA FAMÍLIA'!I11</f>
        <v/>
      </c>
      <c r="B3177" s="320">
        <f>'CEI SAGRADA FAMÍLIA'!D11</f>
        <v/>
      </c>
    </row>
    <row r="3178" ht="15" customHeight="1" s="163">
      <c r="A3178" s="319">
        <f>'CEI SAGRADA FAMÍLIA'!I12</f>
        <v/>
      </c>
      <c r="B3178" s="320">
        <f>'CEI SAGRADA FAMÍLIA'!D12</f>
        <v/>
      </c>
    </row>
    <row r="3179" ht="15" customHeight="1" s="163">
      <c r="A3179" s="319">
        <f>'CEI SAGRADA FAMÍLIA'!I13</f>
        <v/>
      </c>
      <c r="B3179" s="320">
        <f>'CEI SAGRADA FAMÍLIA'!D13</f>
        <v/>
      </c>
    </row>
    <row r="3180" ht="15" customHeight="1" s="163">
      <c r="A3180" s="319">
        <f>'CEI SAGRADA FAMÍLIA'!I14</f>
        <v/>
      </c>
      <c r="B3180" s="320">
        <f>'CEI SAGRADA FAMÍLIA'!D14</f>
        <v/>
      </c>
    </row>
    <row r="3181" ht="15" customHeight="1" s="163">
      <c r="A3181" s="319">
        <f>'CEI SAGRADA FAMÍLIA'!I15</f>
        <v/>
      </c>
      <c r="B3181" s="320">
        <f>'CEI SAGRADA FAMÍLIA'!D15</f>
        <v/>
      </c>
    </row>
    <row r="3182" ht="15" customHeight="1" s="163">
      <c r="A3182" s="319">
        <f>'CEI SAGRADA FAMÍLIA'!I16</f>
        <v/>
      </c>
      <c r="B3182" s="320">
        <f>'CEI SAGRADA FAMÍLIA'!D16</f>
        <v/>
      </c>
    </row>
    <row r="3183" ht="15" customHeight="1" s="163">
      <c r="A3183" s="319">
        <f>'CEI SAGRADA FAMÍLIA'!I17</f>
        <v/>
      </c>
      <c r="B3183" s="320">
        <f>'CEI SAGRADA FAMÍLIA'!D17</f>
        <v/>
      </c>
    </row>
    <row r="3184" ht="15" customHeight="1" s="163">
      <c r="A3184" s="319">
        <f>'CEI SAGRADA FAMÍLIA'!I18</f>
        <v/>
      </c>
      <c r="B3184" s="320">
        <f>'CEI SAGRADA FAMÍLIA'!D18</f>
        <v/>
      </c>
    </row>
    <row r="3185" ht="15" customHeight="1" s="163">
      <c r="A3185" s="319">
        <f>'CEI SAGRADA FAMÍLIA'!I19</f>
        <v/>
      </c>
      <c r="B3185" s="320">
        <f>'CEI SAGRADA FAMÍLIA'!D19</f>
        <v/>
      </c>
    </row>
    <row r="3186" ht="15" customHeight="1" s="163">
      <c r="A3186" s="319">
        <f>'CEI SAGRADA FAMÍLIA'!I20</f>
        <v/>
      </c>
      <c r="B3186" s="320">
        <f>'CEI SAGRADA FAMÍLIA'!D20</f>
        <v/>
      </c>
    </row>
    <row r="3187" ht="15" customHeight="1" s="163">
      <c r="A3187" s="319">
        <f>'CEI SAGRADA FAMÍLIA'!I21</f>
        <v/>
      </c>
      <c r="B3187" s="320">
        <f>'CEI SAGRADA FAMÍLIA'!D21</f>
        <v/>
      </c>
    </row>
    <row r="3188" ht="15" customHeight="1" s="163">
      <c r="A3188" s="319">
        <f>'CEI SAGRADA FAMÍLIA'!I22</f>
        <v/>
      </c>
      <c r="B3188" s="320">
        <f>'CEI SAGRADA FAMÍLIA'!D22</f>
        <v/>
      </c>
    </row>
    <row r="3189" ht="15" customHeight="1" s="163">
      <c r="A3189" s="319">
        <f>'CEI SAGRADA FAMÍLIA'!I23</f>
        <v/>
      </c>
      <c r="B3189" s="320">
        <f>'CEI SAGRADA FAMÍLIA'!D23</f>
        <v/>
      </c>
    </row>
    <row r="3190" ht="15" customHeight="1" s="163">
      <c r="A3190" s="319">
        <f>'CEI SAGRADA FAMÍLIA'!I24</f>
        <v/>
      </c>
      <c r="B3190" s="320">
        <f>'CEI SAGRADA FAMÍLIA'!D24</f>
        <v/>
      </c>
    </row>
    <row r="3191" ht="15" customHeight="1" s="163">
      <c r="A3191" s="319">
        <f>'CEI SAGRADA FAMÍLIA'!I25</f>
        <v/>
      </c>
      <c r="B3191" s="320">
        <f>'CEI SAGRADA FAMÍLIA'!D25</f>
        <v/>
      </c>
    </row>
    <row r="3192" ht="15" customHeight="1" s="163">
      <c r="A3192" s="319">
        <f>'CEI SAGRADA FAMÍLIA'!I26</f>
        <v/>
      </c>
      <c r="B3192" s="320">
        <f>'CEI SAGRADA FAMÍLIA'!D26</f>
        <v/>
      </c>
    </row>
    <row r="3193" ht="15" customHeight="1" s="163">
      <c r="A3193" s="319">
        <f>'CEI SAGRADA FAMÍLIA'!I27</f>
        <v/>
      </c>
      <c r="B3193" s="320">
        <f>'CEI SAGRADA FAMÍLIA'!D27</f>
        <v/>
      </c>
    </row>
    <row r="3194" ht="15" customHeight="1" s="163">
      <c r="A3194" s="319">
        <f>'CEI PROFª HERMÍNIA MATHEUS'!I9</f>
        <v/>
      </c>
      <c r="B3194" s="320">
        <f>'CEI PROFª HERMÍNIA MATHEUS'!D9</f>
        <v/>
      </c>
    </row>
    <row r="3195" ht="15" customHeight="1" s="163">
      <c r="A3195" s="319">
        <f>'CEI PROFª HERMÍNIA MATHEUS'!I10</f>
        <v/>
      </c>
      <c r="B3195" s="320">
        <f>'CEI PROFª HERMÍNIA MATHEUS'!D10</f>
        <v/>
      </c>
    </row>
    <row r="3196" ht="15" customHeight="1" s="163">
      <c r="A3196" s="319">
        <f>'CEI PROFª HERMÍNIA MATHEUS'!I11</f>
        <v/>
      </c>
      <c r="B3196" s="320">
        <f>'CEI PROFª HERMÍNIA MATHEUS'!D11</f>
        <v/>
      </c>
    </row>
    <row r="3197" ht="15" customHeight="1" s="163">
      <c r="A3197" s="319">
        <f>'CEI PROFª HERMÍNIA MATHEUS'!I12</f>
        <v/>
      </c>
      <c r="B3197" s="320">
        <f>'CEI PROFª HERMÍNIA MATHEUS'!D12</f>
        <v/>
      </c>
    </row>
    <row r="3198" ht="15" customHeight="1" s="163">
      <c r="A3198" s="319">
        <f>'CEI PROFª HERMÍNIA MATHEUS'!I13</f>
        <v/>
      </c>
      <c r="B3198" s="320">
        <f>'CEI PROFª HERMÍNIA MATHEUS'!D13</f>
        <v/>
      </c>
    </row>
    <row r="3199" ht="15" customHeight="1" s="163">
      <c r="A3199" s="319">
        <f>'CEI PROFª HERMÍNIA MATHEUS'!I14</f>
        <v/>
      </c>
      <c r="B3199" s="320">
        <f>'CEI PROFª HERMÍNIA MATHEUS'!D14</f>
        <v/>
      </c>
    </row>
    <row r="3200" ht="15" customHeight="1" s="163">
      <c r="A3200" s="319">
        <f>'CEI PROFª HERMÍNIA MATHEUS'!I15</f>
        <v/>
      </c>
      <c r="B3200" s="320">
        <f>'CEI PROFª HERMÍNIA MATHEUS'!D15</f>
        <v/>
      </c>
    </row>
    <row r="3201" ht="15" customHeight="1" s="163">
      <c r="A3201" s="319">
        <f>'CEI PROFª HERMÍNIA MATHEUS'!I16</f>
        <v/>
      </c>
      <c r="B3201" s="320">
        <f>'CEI PROFª HERMÍNIA MATHEUS'!D16</f>
        <v/>
      </c>
    </row>
    <row r="3202" ht="15" customHeight="1" s="163">
      <c r="A3202" s="319">
        <f>'CEI PROFª HERMÍNIA MATHEUS'!I17</f>
        <v/>
      </c>
      <c r="B3202" s="320">
        <f>'CEI PROFª HERMÍNIA MATHEUS'!D17</f>
        <v/>
      </c>
    </row>
    <row r="3203" ht="15" customHeight="1" s="163">
      <c r="A3203" s="319">
        <f>'CEI PROFª HERMÍNIA MATHEUS'!I18</f>
        <v/>
      </c>
      <c r="B3203" s="320">
        <f>'CEI PROFª HERMÍNIA MATHEUS'!D18</f>
        <v/>
      </c>
    </row>
    <row r="3204" ht="15" customHeight="1" s="163">
      <c r="A3204" s="319">
        <f>'CEI PROFª HERMÍNIA MATHEUS'!I19</f>
        <v/>
      </c>
      <c r="B3204" s="320">
        <f>'CEI PROFª HERMÍNIA MATHEUS'!D19</f>
        <v/>
      </c>
    </row>
    <row r="3205" ht="15" customHeight="1" s="163">
      <c r="A3205" s="319">
        <f>'CEI PROFª HERMÍNIA MATHEUS'!I20</f>
        <v/>
      </c>
      <c r="B3205" s="320">
        <f>'CEI PROFª HERMÍNIA MATHEUS'!D20</f>
        <v/>
      </c>
    </row>
    <row r="3206" ht="15" customHeight="1" s="163">
      <c r="A3206" s="319">
        <f>'CEI PROFª HERMÍNIA MATHEUS'!I21</f>
        <v/>
      </c>
      <c r="B3206" s="320">
        <f>'CEI PROFª HERMÍNIA MATHEUS'!D21</f>
        <v/>
      </c>
    </row>
    <row r="3207" ht="15" customHeight="1" s="163">
      <c r="A3207" s="319">
        <f>'CEI PROFª HERMÍNIA MATHEUS'!I22</f>
        <v/>
      </c>
      <c r="B3207" s="320">
        <f>'CEI PROFª HERMÍNIA MATHEUS'!D22</f>
        <v/>
      </c>
    </row>
    <row r="3208" ht="15" customHeight="1" s="163">
      <c r="A3208" s="319">
        <f>'CEI PROFª HERMÍNIA MATHEUS'!I23</f>
        <v/>
      </c>
      <c r="B3208" s="320">
        <f>'CEI PROFª HERMÍNIA MATHEUS'!D23</f>
        <v/>
      </c>
    </row>
    <row r="3209" ht="15" customHeight="1" s="163">
      <c r="A3209" s="319">
        <f>'CEI PROFª HERMÍNIA MATHEUS'!I24</f>
        <v/>
      </c>
      <c r="B3209" s="320">
        <f>'CEI PROFª HERMÍNIA MATHEUS'!D24</f>
        <v/>
      </c>
    </row>
    <row r="3210" ht="15" customHeight="1" s="163">
      <c r="A3210" s="319">
        <f>'CEI PROFª HERMÍNIA MATHEUS'!I25</f>
        <v/>
      </c>
      <c r="B3210" s="320">
        <f>'CEI PROFª HERMÍNIA MATHEUS'!D25</f>
        <v/>
      </c>
    </row>
    <row r="3211" ht="15" customHeight="1" s="163">
      <c r="A3211" s="319">
        <f>'CEI PROFª HERMÍNIA MATHEUS'!I26</f>
        <v/>
      </c>
      <c r="B3211" s="320">
        <f>'CEI PROFª HERMÍNIA MATHEUS'!D26</f>
        <v/>
      </c>
    </row>
    <row r="3212" ht="15" customHeight="1" s="163">
      <c r="A3212" s="319">
        <f>'CEI PROFª HERMÍNIA MATHEUS'!I27</f>
        <v/>
      </c>
      <c r="B3212" s="320">
        <f>'CEI PROFª HERMÍNIA MATHEUS'!D27</f>
        <v/>
      </c>
    </row>
    <row r="3213" ht="15" customHeight="1" s="163">
      <c r="A3213" s="319">
        <f>'CENTRO DE EDUCAÇÃO INFANTIL PRO'!I9</f>
        <v/>
      </c>
      <c r="B3213" s="320">
        <f>'CENTRO DE EDUCAÇÃO INFANTIL PRO'!D9</f>
        <v/>
      </c>
    </row>
    <row r="3214" ht="15" customHeight="1" s="163">
      <c r="A3214" s="319">
        <f>'CENTRO DE EDUCAÇÃO INFANTIL PRO'!I10</f>
        <v/>
      </c>
      <c r="B3214" s="320">
        <f>'CENTRO DE EDUCAÇÃO INFANTIL PRO'!D10</f>
        <v/>
      </c>
    </row>
    <row r="3215" ht="15" customHeight="1" s="163">
      <c r="A3215" s="319">
        <f>'CENTRO DE EDUCAÇÃO INFANTIL PRO'!I11</f>
        <v/>
      </c>
      <c r="B3215" s="320">
        <f>'CENTRO DE EDUCAÇÃO INFANTIL PRO'!D11</f>
        <v/>
      </c>
    </row>
    <row r="3216" ht="15" customHeight="1" s="163">
      <c r="A3216" s="319">
        <f>'CENTRO DE EDUCAÇÃO INFANTIL PRO'!I12</f>
        <v/>
      </c>
      <c r="B3216" s="320">
        <f>'CENTRO DE EDUCAÇÃO INFANTIL PRO'!D12</f>
        <v/>
      </c>
    </row>
    <row r="3217" ht="15" customHeight="1" s="163">
      <c r="A3217" s="319">
        <f>'CENTRO DE EDUCAÇÃO INFANTIL PRO'!I13</f>
        <v/>
      </c>
      <c r="B3217" s="320">
        <f>'CENTRO DE EDUCAÇÃO INFANTIL PRO'!D13</f>
        <v/>
      </c>
    </row>
    <row r="3218" ht="15" customHeight="1" s="163">
      <c r="A3218" s="319">
        <f>'CENTRO DE EDUCAÇÃO INFANTIL PRO'!I14</f>
        <v/>
      </c>
      <c r="B3218" s="320">
        <f>'CENTRO DE EDUCAÇÃO INFANTIL PRO'!D14</f>
        <v/>
      </c>
    </row>
    <row r="3219" ht="15" customHeight="1" s="163">
      <c r="A3219" s="319">
        <f>'CENTRO DE EDUCAÇÃO INFANTIL PRO'!I15</f>
        <v/>
      </c>
      <c r="B3219" s="320">
        <f>'CENTRO DE EDUCAÇÃO INFANTIL PRO'!D15</f>
        <v/>
      </c>
    </row>
    <row r="3220" ht="15" customHeight="1" s="163">
      <c r="A3220" s="319">
        <f>'CENTRO DE EDUCAÇÃO INFANTIL PRO'!I16</f>
        <v/>
      </c>
      <c r="B3220" s="320">
        <f>'CENTRO DE EDUCAÇÃO INFANTIL PRO'!D16</f>
        <v/>
      </c>
    </row>
    <row r="3221" ht="15" customHeight="1" s="163">
      <c r="A3221" s="319">
        <f>'CENTRO DE EDUCAÇÃO INFANTIL PRO'!I17</f>
        <v/>
      </c>
      <c r="B3221" s="320">
        <f>'CENTRO DE EDUCAÇÃO INFANTIL PRO'!D17</f>
        <v/>
      </c>
    </row>
    <row r="3222" ht="15" customHeight="1" s="163">
      <c r="A3222" s="319">
        <f>'CENTRO DE EDUCAÇÃO INFANTIL PRO'!I18</f>
        <v/>
      </c>
      <c r="B3222" s="320">
        <f>'CENTRO DE EDUCAÇÃO INFANTIL PRO'!D18</f>
        <v/>
      </c>
    </row>
    <row r="3223" ht="15" customHeight="1" s="163">
      <c r="A3223" s="319">
        <f>'CENTRO DE EDUCAÇÃO INFANTIL PRO'!I19</f>
        <v/>
      </c>
      <c r="B3223" s="320">
        <f>'CENTRO DE EDUCAÇÃO INFANTIL PRO'!D19</f>
        <v/>
      </c>
    </row>
    <row r="3224" ht="15" customHeight="1" s="163">
      <c r="A3224" s="319">
        <f>'CENTRO DE EDUCAÇÃO INFANTIL PRO'!I20</f>
        <v/>
      </c>
      <c r="B3224" s="320">
        <f>'CENTRO DE EDUCAÇÃO INFANTIL PRO'!D20</f>
        <v/>
      </c>
    </row>
    <row r="3225" ht="15" customHeight="1" s="163">
      <c r="A3225" s="319">
        <f>'CENTRO DE EDUCAÇÃO INFANTIL PRO'!I21</f>
        <v/>
      </c>
      <c r="B3225" s="320">
        <f>'CENTRO DE EDUCAÇÃO INFANTIL PRO'!D21</f>
        <v/>
      </c>
    </row>
    <row r="3226" ht="15" customHeight="1" s="163">
      <c r="A3226" s="319">
        <f>'CENTRO DE EDUCAÇÃO INFANTIL PRO'!I22</f>
        <v/>
      </c>
      <c r="B3226" s="320">
        <f>'CENTRO DE EDUCAÇÃO INFANTIL PRO'!D22</f>
        <v/>
      </c>
    </row>
    <row r="3227" ht="15" customHeight="1" s="163">
      <c r="A3227" s="319">
        <f>'CENTRO DE EDUCAÇÃO INFANTIL PRO'!I23</f>
        <v/>
      </c>
      <c r="B3227" s="320">
        <f>'CENTRO DE EDUCAÇÃO INFANTIL PRO'!D23</f>
        <v/>
      </c>
    </row>
    <row r="3228" ht="15" customHeight="1" s="163">
      <c r="A3228" s="319">
        <f>'CENTRO DE EDUCAÇÃO INFANTIL PRO'!I24</f>
        <v/>
      </c>
      <c r="B3228" s="320">
        <f>'CENTRO DE EDUCAÇÃO INFANTIL PRO'!D24</f>
        <v/>
      </c>
    </row>
    <row r="3229" ht="15" customHeight="1" s="163">
      <c r="A3229" s="319">
        <f>'CENTRO DE EDUCAÇÃO INFANTIL PRO'!I25</f>
        <v/>
      </c>
      <c r="B3229" s="320">
        <f>'CENTRO DE EDUCAÇÃO INFANTIL PRO'!D25</f>
        <v/>
      </c>
    </row>
    <row r="3230" ht="15" customHeight="1" s="163">
      <c r="A3230" s="319">
        <f>'CENTRO DE EDUCAÇÃO INFANTIL PRO'!I26</f>
        <v/>
      </c>
      <c r="B3230" s="320">
        <f>'CENTRO DE EDUCAÇÃO INFANTIL PRO'!D26</f>
        <v/>
      </c>
    </row>
    <row r="3231" ht="15" customHeight="1" s="163">
      <c r="A3231" s="319">
        <f>'CENTRO DE EDUCAÇÃO INFANTIL PRO'!I27</f>
        <v/>
      </c>
      <c r="B3231" s="320">
        <f>'CENTRO DE EDUCAÇÃO INFANTIL PRO'!D27</f>
        <v/>
      </c>
    </row>
    <row r="3232" ht="15" customHeight="1" s="163">
      <c r="A3232" s="319">
        <f>'CEI MONSENHOR PAULO ELIAS DAHER'!I9</f>
        <v/>
      </c>
      <c r="B3232" s="320">
        <f>'CEI MONSENHOR PAULO ELIAS DAHER'!D9</f>
        <v/>
      </c>
    </row>
    <row r="3233" ht="15" customHeight="1" s="163">
      <c r="A3233" s="319">
        <f>'CEI MONSENHOR PAULO ELIAS DAHER'!I10</f>
        <v/>
      </c>
      <c r="B3233" s="320">
        <f>'CEI MONSENHOR PAULO ELIAS DAHER'!D10</f>
        <v/>
      </c>
    </row>
    <row r="3234" ht="15" customHeight="1" s="163">
      <c r="A3234" s="319">
        <f>'CEI MONSENHOR PAULO ELIAS DAHER'!I11</f>
        <v/>
      </c>
      <c r="B3234" s="320">
        <f>'CEI MONSENHOR PAULO ELIAS DAHER'!D11</f>
        <v/>
      </c>
    </row>
    <row r="3235" ht="15" customHeight="1" s="163">
      <c r="A3235" s="319">
        <f>'CEI MONSENHOR PAULO ELIAS DAHER'!I12</f>
        <v/>
      </c>
      <c r="B3235" s="320">
        <f>'CEI MONSENHOR PAULO ELIAS DAHER'!D12</f>
        <v/>
      </c>
    </row>
    <row r="3236" ht="15" customHeight="1" s="163">
      <c r="A3236" s="319">
        <f>'CEI MONSENHOR PAULO ELIAS DAHER'!I13</f>
        <v/>
      </c>
      <c r="B3236" s="320">
        <f>'CEI MONSENHOR PAULO ELIAS DAHER'!D13</f>
        <v/>
      </c>
    </row>
    <row r="3237" ht="15" customHeight="1" s="163">
      <c r="A3237" s="319">
        <f>'CEI MONSENHOR PAULO ELIAS DAHER'!I14</f>
        <v/>
      </c>
      <c r="B3237" s="320">
        <f>'CEI MONSENHOR PAULO ELIAS DAHER'!D14</f>
        <v/>
      </c>
    </row>
    <row r="3238" ht="15" customHeight="1" s="163">
      <c r="A3238" s="319">
        <f>'CEI MONSENHOR PAULO ELIAS DAHER'!I15</f>
        <v/>
      </c>
      <c r="B3238" s="320">
        <f>'CEI MONSENHOR PAULO ELIAS DAHER'!D15</f>
        <v/>
      </c>
    </row>
    <row r="3239" ht="15" customHeight="1" s="163">
      <c r="A3239" s="319">
        <f>'CEI MONSENHOR PAULO ELIAS DAHER'!I16</f>
        <v/>
      </c>
      <c r="B3239" s="320">
        <f>'CEI MONSENHOR PAULO ELIAS DAHER'!D16</f>
        <v/>
      </c>
    </row>
    <row r="3240" ht="15" customHeight="1" s="163">
      <c r="A3240" s="319">
        <f>'CEI MONSENHOR PAULO ELIAS DAHER'!I17</f>
        <v/>
      </c>
      <c r="B3240" s="320">
        <f>'CEI MONSENHOR PAULO ELIAS DAHER'!D17</f>
        <v/>
      </c>
    </row>
    <row r="3241" ht="15" customHeight="1" s="163">
      <c r="A3241" s="319">
        <f>'CEI MONSENHOR PAULO ELIAS DAHER'!I18</f>
        <v/>
      </c>
      <c r="B3241" s="320">
        <f>'CEI MONSENHOR PAULO ELIAS DAHER'!D18</f>
        <v/>
      </c>
    </row>
    <row r="3242" ht="15" customHeight="1" s="163">
      <c r="A3242" s="319">
        <f>'CEI MONSENHOR PAULO ELIAS DAHER'!I19</f>
        <v/>
      </c>
      <c r="B3242" s="320">
        <f>'CEI MONSENHOR PAULO ELIAS DAHER'!D19</f>
        <v/>
      </c>
    </row>
    <row r="3243" ht="15" customHeight="1" s="163">
      <c r="A3243" s="319">
        <f>'CEI MONSENHOR PAULO ELIAS DAHER'!I20</f>
        <v/>
      </c>
      <c r="B3243" s="320">
        <f>'CEI MONSENHOR PAULO ELIAS DAHER'!D20</f>
        <v/>
      </c>
    </row>
    <row r="3244" ht="15" customHeight="1" s="163">
      <c r="A3244" s="319">
        <f>'CEI MONSENHOR PAULO ELIAS DAHER'!I21</f>
        <v/>
      </c>
      <c r="B3244" s="320">
        <f>'CEI MONSENHOR PAULO ELIAS DAHER'!D21</f>
        <v/>
      </c>
    </row>
    <row r="3245" ht="15" customHeight="1" s="163">
      <c r="A3245" s="319">
        <f>'CEI MONSENHOR PAULO ELIAS DAHER'!I22</f>
        <v/>
      </c>
      <c r="B3245" s="320">
        <f>'CEI MONSENHOR PAULO ELIAS DAHER'!D22</f>
        <v/>
      </c>
    </row>
    <row r="3246" ht="15" customHeight="1" s="163">
      <c r="A3246" s="319">
        <f>'CEI MONSENHOR PAULO ELIAS DAHER'!I23</f>
        <v/>
      </c>
      <c r="B3246" s="320">
        <f>'CEI MONSENHOR PAULO ELIAS DAHER'!D23</f>
        <v/>
      </c>
    </row>
    <row r="3247" ht="15" customHeight="1" s="163">
      <c r="A3247" s="319">
        <f>'CEI MONSENHOR PAULO ELIAS DAHER'!I24</f>
        <v/>
      </c>
      <c r="B3247" s="320">
        <f>'CEI MONSENHOR PAULO ELIAS DAHER'!D24</f>
        <v/>
      </c>
    </row>
    <row r="3248" ht="15" customHeight="1" s="163">
      <c r="A3248" s="319">
        <f>'CEI MONSENHOR PAULO ELIAS DAHER'!I25</f>
        <v/>
      </c>
      <c r="B3248" s="320">
        <f>'CEI MONSENHOR PAULO ELIAS DAHER'!D25</f>
        <v/>
      </c>
    </row>
    <row r="3249" ht="15" customHeight="1" s="163">
      <c r="A3249" s="319">
        <f>'CEI MONSENHOR PAULO ELIAS DAHER'!I26</f>
        <v/>
      </c>
      <c r="B3249" s="320">
        <f>'CEI MONSENHOR PAULO ELIAS DAHER'!D26</f>
        <v/>
      </c>
    </row>
    <row r="3250" ht="15" customHeight="1" s="163">
      <c r="A3250" s="319">
        <f>'CEI MONSENHOR PAULO ELIAS DAHER'!I27</f>
        <v/>
      </c>
      <c r="B3250" s="320">
        <f>'CEI MONSENHOR PAULO ELIAS DAHER'!D27</f>
        <v/>
      </c>
    </row>
    <row r="3251" ht="15" customHeight="1" s="163">
      <c r="A3251" s="319">
        <f>'CEI DAGMAR ROLANDO DE OLIVEIRA'!I9</f>
        <v/>
      </c>
      <c r="B3251" s="320">
        <f>'CEI DAGMAR ROLANDO DE OLIVEIRA'!D9</f>
        <v/>
      </c>
    </row>
    <row r="3252" ht="15" customHeight="1" s="163">
      <c r="A3252" s="319">
        <f>'CEI DAGMAR ROLANDO DE OLIVEIRA'!I10</f>
        <v/>
      </c>
      <c r="B3252" s="320">
        <f>'CEI DAGMAR ROLANDO DE OLIVEIRA'!D10</f>
        <v/>
      </c>
    </row>
    <row r="3253" ht="15" customHeight="1" s="163">
      <c r="A3253" s="319">
        <f>'CEI DAGMAR ROLANDO DE OLIVEIRA'!I11</f>
        <v/>
      </c>
      <c r="B3253" s="320">
        <f>'CEI DAGMAR ROLANDO DE OLIVEIRA'!D11</f>
        <v/>
      </c>
    </row>
    <row r="3254" ht="15" customHeight="1" s="163">
      <c r="A3254" s="319">
        <f>'CEI DAGMAR ROLANDO DE OLIVEIRA'!I12</f>
        <v/>
      </c>
      <c r="B3254" s="320">
        <f>'CEI DAGMAR ROLANDO DE OLIVEIRA'!D12</f>
        <v/>
      </c>
    </row>
    <row r="3255" ht="15" customHeight="1" s="163">
      <c r="A3255" s="319">
        <f>'CEI DAGMAR ROLANDO DE OLIVEIRA'!I13</f>
        <v/>
      </c>
      <c r="B3255" s="320">
        <f>'CEI DAGMAR ROLANDO DE OLIVEIRA'!D13</f>
        <v/>
      </c>
    </row>
    <row r="3256" ht="15" customHeight="1" s="163">
      <c r="A3256" s="319">
        <f>'CEI DAGMAR ROLANDO DE OLIVEIRA'!I14</f>
        <v/>
      </c>
      <c r="B3256" s="320">
        <f>'CEI DAGMAR ROLANDO DE OLIVEIRA'!D14</f>
        <v/>
      </c>
    </row>
    <row r="3257" ht="15" customHeight="1" s="163">
      <c r="A3257" s="319">
        <f>'CEI DAGMAR ROLANDO DE OLIVEIRA'!I15</f>
        <v/>
      </c>
      <c r="B3257" s="320">
        <f>'CEI DAGMAR ROLANDO DE OLIVEIRA'!D15</f>
        <v/>
      </c>
    </row>
    <row r="3258" ht="15" customHeight="1" s="163">
      <c r="A3258" s="319">
        <f>'CEI DAGMAR ROLANDO DE OLIVEIRA'!I16</f>
        <v/>
      </c>
      <c r="B3258" s="320">
        <f>'CEI DAGMAR ROLANDO DE OLIVEIRA'!D16</f>
        <v/>
      </c>
    </row>
    <row r="3259" ht="15" customHeight="1" s="163">
      <c r="A3259" s="319">
        <f>'CEI DAGMAR ROLANDO DE OLIVEIRA'!I17</f>
        <v/>
      </c>
      <c r="B3259" s="320">
        <f>'CEI DAGMAR ROLANDO DE OLIVEIRA'!D17</f>
        <v/>
      </c>
    </row>
    <row r="3260" ht="15" customHeight="1" s="163">
      <c r="A3260" s="319">
        <f>'CEI DAGMAR ROLANDO DE OLIVEIRA'!I18</f>
        <v/>
      </c>
      <c r="B3260" s="320">
        <f>'CEI DAGMAR ROLANDO DE OLIVEIRA'!D18</f>
        <v/>
      </c>
    </row>
    <row r="3261" ht="15" customHeight="1" s="163">
      <c r="A3261" s="319">
        <f>'CEI DAGMAR ROLANDO DE OLIVEIRA'!I19</f>
        <v/>
      </c>
      <c r="B3261" s="320">
        <f>'CEI DAGMAR ROLANDO DE OLIVEIRA'!D19</f>
        <v/>
      </c>
    </row>
    <row r="3262" ht="15" customHeight="1" s="163">
      <c r="A3262" s="319">
        <f>'CEI DAGMAR ROLANDO DE OLIVEIRA'!I20</f>
        <v/>
      </c>
      <c r="B3262" s="320">
        <f>'CEI DAGMAR ROLANDO DE OLIVEIRA'!D20</f>
        <v/>
      </c>
    </row>
    <row r="3263" ht="15" customHeight="1" s="163">
      <c r="A3263" s="319">
        <f>'CEI DAGMAR ROLANDO DE OLIVEIRA'!I21</f>
        <v/>
      </c>
      <c r="B3263" s="320">
        <f>'CEI DAGMAR ROLANDO DE OLIVEIRA'!D21</f>
        <v/>
      </c>
    </row>
    <row r="3264" ht="15" customHeight="1" s="163">
      <c r="A3264" s="319">
        <f>'CEI DAGMAR ROLANDO DE OLIVEIRA'!I22</f>
        <v/>
      </c>
      <c r="B3264" s="320">
        <f>'CEI DAGMAR ROLANDO DE OLIVEIRA'!D22</f>
        <v/>
      </c>
    </row>
    <row r="3265" ht="15" customHeight="1" s="163">
      <c r="A3265" s="319">
        <f>'CEI DAGMAR ROLANDO DE OLIVEIRA'!I23</f>
        <v/>
      </c>
      <c r="B3265" s="320">
        <f>'CEI DAGMAR ROLANDO DE OLIVEIRA'!D23</f>
        <v/>
      </c>
    </row>
    <row r="3266" ht="15" customHeight="1" s="163">
      <c r="A3266" s="319">
        <f>'CEI DAGMAR ROLANDO DE OLIVEIRA'!I24</f>
        <v/>
      </c>
      <c r="B3266" s="320">
        <f>'CEI DAGMAR ROLANDO DE OLIVEIRA'!D24</f>
        <v/>
      </c>
    </row>
    <row r="3267" ht="15" customHeight="1" s="163">
      <c r="A3267" s="319">
        <f>'CEI DAGMAR ROLANDO DE OLIVEIRA'!I25</f>
        <v/>
      </c>
      <c r="B3267" s="320">
        <f>'CEI DAGMAR ROLANDO DE OLIVEIRA'!D25</f>
        <v/>
      </c>
    </row>
    <row r="3268" ht="15" customHeight="1" s="163">
      <c r="A3268" s="319">
        <f>'CEI DAGMAR ROLANDO DE OLIVEIRA'!I26</f>
        <v/>
      </c>
      <c r="B3268" s="320">
        <f>'CEI DAGMAR ROLANDO DE OLIVEIRA'!D26</f>
        <v/>
      </c>
    </row>
    <row r="3269" ht="15" customHeight="1" s="163">
      <c r="A3269" s="319">
        <f>'CEI DAGMAR ROLANDO DE OLIVEIRA'!I27</f>
        <v/>
      </c>
      <c r="B3269" s="320">
        <f>'CEI DAGMAR ROLANDO DE OLIVEIRA'!D27</f>
        <v/>
      </c>
    </row>
    <row r="3270" ht="15" customHeight="1" s="163">
      <c r="A3270" s="319">
        <f>'CENTRO DE EDUCAÇÃO INFANTIL  2'!I9</f>
        <v/>
      </c>
      <c r="B3270" s="320">
        <f>'CENTRO DE EDUCAÇÃO INFANTIL  2'!D9</f>
        <v/>
      </c>
    </row>
    <row r="3271" ht="15" customHeight="1" s="163">
      <c r="A3271" s="319">
        <f>'CENTRO DE EDUCAÇÃO INFANTIL  2'!I10</f>
        <v/>
      </c>
      <c r="B3271" s="320">
        <f>'CENTRO DE EDUCAÇÃO INFANTIL  2'!D10</f>
        <v/>
      </c>
    </row>
    <row r="3272" ht="15" customHeight="1" s="163">
      <c r="A3272" s="319">
        <f>'CENTRO DE EDUCAÇÃO INFANTIL  2'!I11</f>
        <v/>
      </c>
      <c r="B3272" s="320">
        <f>'CENTRO DE EDUCAÇÃO INFANTIL  2'!D11</f>
        <v/>
      </c>
    </row>
    <row r="3273" ht="15" customHeight="1" s="163">
      <c r="A3273" s="319">
        <f>'CENTRO DE EDUCAÇÃO INFANTIL  2'!I12</f>
        <v/>
      </c>
      <c r="B3273" s="320">
        <f>'CENTRO DE EDUCAÇÃO INFANTIL  2'!D12</f>
        <v/>
      </c>
    </row>
    <row r="3274" ht="15" customHeight="1" s="163">
      <c r="A3274" s="319">
        <f>'CENTRO DE EDUCAÇÃO INFANTIL  2'!I13</f>
        <v/>
      </c>
      <c r="B3274" s="320">
        <f>'CENTRO DE EDUCAÇÃO INFANTIL  2'!D13</f>
        <v/>
      </c>
    </row>
    <row r="3275" ht="15" customHeight="1" s="163">
      <c r="A3275" s="319">
        <f>'CENTRO DE EDUCAÇÃO INFANTIL  2'!I14</f>
        <v/>
      </c>
      <c r="B3275" s="320">
        <f>'CENTRO DE EDUCAÇÃO INFANTIL  2'!D14</f>
        <v/>
      </c>
    </row>
    <row r="3276" ht="15" customHeight="1" s="163">
      <c r="A3276" s="319">
        <f>'CENTRO DE EDUCAÇÃO INFANTIL  2'!I15</f>
        <v/>
      </c>
      <c r="B3276" s="320">
        <f>'CENTRO DE EDUCAÇÃO INFANTIL  2'!D15</f>
        <v/>
      </c>
    </row>
    <row r="3277" ht="15" customHeight="1" s="163">
      <c r="A3277" s="319">
        <f>'CENTRO DE EDUCAÇÃO INFANTIL  2'!I16</f>
        <v/>
      </c>
      <c r="B3277" s="320">
        <f>'CENTRO DE EDUCAÇÃO INFANTIL  2'!D16</f>
        <v/>
      </c>
    </row>
    <row r="3278" ht="15" customHeight="1" s="163">
      <c r="A3278" s="319">
        <f>'CENTRO DE EDUCAÇÃO INFANTIL  2'!I17</f>
        <v/>
      </c>
      <c r="B3278" s="320">
        <f>'CENTRO DE EDUCAÇÃO INFANTIL  2'!D17</f>
        <v/>
      </c>
    </row>
    <row r="3279" ht="15" customHeight="1" s="163">
      <c r="A3279" s="319">
        <f>'CENTRO DE EDUCAÇÃO INFANTIL  2'!I18</f>
        <v/>
      </c>
      <c r="B3279" s="320">
        <f>'CENTRO DE EDUCAÇÃO INFANTIL  2'!D18</f>
        <v/>
      </c>
    </row>
    <row r="3280" ht="15" customHeight="1" s="163">
      <c r="A3280" s="319">
        <f>'CENTRO DE EDUCAÇÃO INFANTIL  2'!I19</f>
        <v/>
      </c>
      <c r="B3280" s="320">
        <f>'CENTRO DE EDUCAÇÃO INFANTIL  2'!D19</f>
        <v/>
      </c>
    </row>
    <row r="3281" ht="15" customHeight="1" s="163">
      <c r="A3281" s="319">
        <f>'CENTRO DE EDUCAÇÃO INFANTIL  2'!I20</f>
        <v/>
      </c>
      <c r="B3281" s="320">
        <f>'CENTRO DE EDUCAÇÃO INFANTIL  2'!D20</f>
        <v/>
      </c>
    </row>
    <row r="3282" ht="15" customHeight="1" s="163">
      <c r="A3282" s="319">
        <f>'CENTRO DE EDUCAÇÃO INFANTIL  2'!I21</f>
        <v/>
      </c>
      <c r="B3282" s="320">
        <f>'CENTRO DE EDUCAÇÃO INFANTIL  2'!D21</f>
        <v/>
      </c>
    </row>
    <row r="3283" ht="15" customHeight="1" s="163">
      <c r="A3283" s="319">
        <f>'CENTRO DE EDUCAÇÃO INFANTIL  2'!I22</f>
        <v/>
      </c>
      <c r="B3283" s="320">
        <f>'CENTRO DE EDUCAÇÃO INFANTIL  2'!D22</f>
        <v/>
      </c>
    </row>
    <row r="3284" ht="15" customHeight="1" s="163">
      <c r="A3284" s="319">
        <f>'CENTRO DE EDUCAÇÃO INFANTIL  2'!I23</f>
        <v/>
      </c>
      <c r="B3284" s="320">
        <f>'CENTRO DE EDUCAÇÃO INFANTIL  2'!D23</f>
        <v/>
      </c>
    </row>
    <row r="3285" ht="15" customHeight="1" s="163">
      <c r="A3285" s="319">
        <f>'CENTRO DE EDUCAÇÃO INFANTIL  2'!I24</f>
        <v/>
      </c>
      <c r="B3285" s="320">
        <f>'CENTRO DE EDUCAÇÃO INFANTIL  2'!D24</f>
        <v/>
      </c>
    </row>
    <row r="3286" ht="15" customHeight="1" s="163">
      <c r="A3286" s="319">
        <f>'CENTRO DE EDUCAÇÃO INFANTIL  2'!I25</f>
        <v/>
      </c>
      <c r="B3286" s="320">
        <f>'CENTRO DE EDUCAÇÃO INFANTIL  2'!D25</f>
        <v/>
      </c>
    </row>
    <row r="3287" ht="15" customHeight="1" s="163">
      <c r="A3287" s="319">
        <f>'CENTRO DE EDUCAÇÃO INFANTIL  2'!I26</f>
        <v/>
      </c>
      <c r="B3287" s="320">
        <f>'CENTRO DE EDUCAÇÃO INFANTIL  2'!D26</f>
        <v/>
      </c>
    </row>
    <row r="3288" ht="15" customHeight="1" s="163">
      <c r="A3288" s="319">
        <f>'CENTRO DE EDUCAÇÃO INFANTIL  2'!I27</f>
        <v/>
      </c>
      <c r="B3288" s="320">
        <f>'CENTRO DE EDUCAÇÃO INFANTIL  2'!D27</f>
        <v/>
      </c>
    </row>
    <row r="3289" ht="15" customHeight="1" s="163">
      <c r="A3289" s="319">
        <f>'CEI BOA VISTA'!I9</f>
        <v/>
      </c>
      <c r="B3289" s="320">
        <f>'CEI BOA VISTA'!D9</f>
        <v/>
      </c>
    </row>
    <row r="3290" ht="15" customHeight="1" s="163">
      <c r="A3290" s="319">
        <f>'CEI BOA VISTA'!I10</f>
        <v/>
      </c>
      <c r="B3290" s="320">
        <f>'CEI BOA VISTA'!D10</f>
        <v/>
      </c>
    </row>
    <row r="3291" ht="15" customHeight="1" s="163">
      <c r="A3291" s="319">
        <f>'CEI BOA VISTA'!I11</f>
        <v/>
      </c>
      <c r="B3291" s="320">
        <f>'CEI BOA VISTA'!D11</f>
        <v/>
      </c>
    </row>
    <row r="3292" ht="15" customHeight="1" s="163">
      <c r="A3292" s="319">
        <f>'CEI BOA VISTA'!I12</f>
        <v/>
      </c>
      <c r="B3292" s="320">
        <f>'CEI BOA VISTA'!D12</f>
        <v/>
      </c>
    </row>
    <row r="3293" ht="15" customHeight="1" s="163">
      <c r="A3293" s="319">
        <f>'CEI BOA VISTA'!I13</f>
        <v/>
      </c>
      <c r="B3293" s="320">
        <f>'CEI BOA VISTA'!D13</f>
        <v/>
      </c>
    </row>
    <row r="3294" ht="15" customHeight="1" s="163">
      <c r="A3294" s="319">
        <f>'CEI BOA VISTA'!I14</f>
        <v/>
      </c>
      <c r="B3294" s="320">
        <f>'CEI BOA VISTA'!D14</f>
        <v/>
      </c>
    </row>
    <row r="3295" ht="15" customHeight="1" s="163">
      <c r="A3295" s="319">
        <f>'CEI BOA VISTA'!I15</f>
        <v/>
      </c>
      <c r="B3295" s="320">
        <f>'CEI BOA VISTA'!D15</f>
        <v/>
      </c>
    </row>
    <row r="3296" ht="15" customHeight="1" s="163">
      <c r="A3296" s="319">
        <f>'CEI BOA VISTA'!I16</f>
        <v/>
      </c>
      <c r="B3296" s="320">
        <f>'CEI BOA VISTA'!D16</f>
        <v/>
      </c>
    </row>
    <row r="3297" ht="15" customHeight="1" s="163">
      <c r="A3297" s="319">
        <f>'CEI BOA VISTA'!I17</f>
        <v/>
      </c>
      <c r="B3297" s="320">
        <f>'CEI BOA VISTA'!D17</f>
        <v/>
      </c>
    </row>
    <row r="3298" ht="15" customHeight="1" s="163">
      <c r="A3298" s="319">
        <f>'CEI BOA VISTA'!I18</f>
        <v/>
      </c>
      <c r="B3298" s="320">
        <f>'CEI BOA VISTA'!D18</f>
        <v/>
      </c>
    </row>
    <row r="3299" ht="15" customHeight="1" s="163">
      <c r="A3299" s="319">
        <f>'CEI BOA VISTA'!I19</f>
        <v/>
      </c>
      <c r="B3299" s="320">
        <f>'CEI BOA VISTA'!D19</f>
        <v/>
      </c>
    </row>
    <row r="3300" ht="15" customHeight="1" s="163">
      <c r="A3300" s="319">
        <f>'CEI BOA VISTA'!I20</f>
        <v/>
      </c>
      <c r="B3300" s="320">
        <f>'CEI BOA VISTA'!D20</f>
        <v/>
      </c>
    </row>
    <row r="3301" ht="15" customHeight="1" s="163">
      <c r="A3301" s="319">
        <f>'CEI BOA VISTA'!I21</f>
        <v/>
      </c>
      <c r="B3301" s="320">
        <f>'CEI BOA VISTA'!D21</f>
        <v/>
      </c>
    </row>
    <row r="3302" ht="15" customHeight="1" s="163">
      <c r="A3302" s="319">
        <f>'CEI BOA VISTA'!I22</f>
        <v/>
      </c>
      <c r="B3302" s="320">
        <f>'CEI BOA VISTA'!D22</f>
        <v/>
      </c>
    </row>
    <row r="3303" ht="15" customHeight="1" s="163">
      <c r="A3303" s="319">
        <f>'CEI BOA VISTA'!I23</f>
        <v/>
      </c>
      <c r="B3303" s="320">
        <f>'CEI BOA VISTA'!D23</f>
        <v/>
      </c>
    </row>
    <row r="3304" ht="15" customHeight="1" s="163">
      <c r="A3304" s="319">
        <f>'CEI BOA VISTA'!I24</f>
        <v/>
      </c>
      <c r="B3304" s="320">
        <f>'CEI BOA VISTA'!D24</f>
        <v/>
      </c>
    </row>
    <row r="3305" ht="15" customHeight="1" s="163">
      <c r="A3305" s="319">
        <f>'CEI BOA VISTA'!I25</f>
        <v/>
      </c>
      <c r="B3305" s="320">
        <f>'CEI BOA VISTA'!D25</f>
        <v/>
      </c>
    </row>
    <row r="3306" ht="15" customHeight="1" s="163">
      <c r="A3306" s="319">
        <f>'CEI BOA VISTA'!I26</f>
        <v/>
      </c>
      <c r="B3306" s="320">
        <f>'CEI BOA VISTA'!D26</f>
        <v/>
      </c>
    </row>
    <row r="3307" ht="15" customHeight="1" s="163">
      <c r="A3307" s="319">
        <f>'CEI BOA VISTA'!I27</f>
        <v/>
      </c>
      <c r="B3307" s="320">
        <f>'CEI BOA VISTA'!D27</f>
        <v/>
      </c>
    </row>
    <row r="3308" ht="15" customHeight="1" s="163">
      <c r="A3308" s="319">
        <f>'CEI NILO PEÇANHA'!I9</f>
        <v/>
      </c>
      <c r="B3308" s="320">
        <f>'CEI NILO PEÇANHA'!D9</f>
        <v/>
      </c>
    </row>
    <row r="3309" ht="15" customHeight="1" s="163">
      <c r="A3309" s="319">
        <f>'CEI NILO PEÇANHA'!I10</f>
        <v/>
      </c>
      <c r="B3309" s="320">
        <f>'CEI NILO PEÇANHA'!D10</f>
        <v/>
      </c>
    </row>
    <row r="3310" ht="15" customHeight="1" s="163">
      <c r="A3310" s="319">
        <f>'CEI NILO PEÇANHA'!I11</f>
        <v/>
      </c>
      <c r="B3310" s="320">
        <f>'CEI NILO PEÇANHA'!D11</f>
        <v/>
      </c>
    </row>
    <row r="3311" ht="15" customHeight="1" s="163">
      <c r="A3311" s="319">
        <f>'CEI NILO PEÇANHA'!I12</f>
        <v/>
      </c>
      <c r="B3311" s="320">
        <f>'CEI NILO PEÇANHA'!D12</f>
        <v/>
      </c>
    </row>
    <row r="3312" ht="15" customHeight="1" s="163">
      <c r="A3312" s="319">
        <f>'CEI NILO PEÇANHA'!I13</f>
        <v/>
      </c>
      <c r="B3312" s="320">
        <f>'CEI NILO PEÇANHA'!D13</f>
        <v/>
      </c>
    </row>
    <row r="3313" ht="15" customHeight="1" s="163">
      <c r="A3313" s="319">
        <f>'CEI NILO PEÇANHA'!I14</f>
        <v/>
      </c>
      <c r="B3313" s="320">
        <f>'CEI NILO PEÇANHA'!D14</f>
        <v/>
      </c>
    </row>
    <row r="3314" ht="15" customHeight="1" s="163">
      <c r="A3314" s="319">
        <f>'CEI NILO PEÇANHA'!I15</f>
        <v/>
      </c>
      <c r="B3314" s="320">
        <f>'CEI NILO PEÇANHA'!D15</f>
        <v/>
      </c>
    </row>
    <row r="3315" ht="15" customHeight="1" s="163">
      <c r="A3315" s="319">
        <f>'CEI NILO PEÇANHA'!I16</f>
        <v/>
      </c>
      <c r="B3315" s="320">
        <f>'CEI NILO PEÇANHA'!D16</f>
        <v/>
      </c>
    </row>
    <row r="3316" ht="15" customHeight="1" s="163">
      <c r="A3316" s="319">
        <f>'CEI NILO PEÇANHA'!I17</f>
        <v/>
      </c>
      <c r="B3316" s="320">
        <f>'CEI NILO PEÇANHA'!D17</f>
        <v/>
      </c>
    </row>
    <row r="3317" ht="15" customHeight="1" s="163">
      <c r="A3317" s="319">
        <f>'CEI NILO PEÇANHA'!I18</f>
        <v/>
      </c>
      <c r="B3317" s="320">
        <f>'CEI NILO PEÇANHA'!D18</f>
        <v/>
      </c>
    </row>
    <row r="3318" ht="15" customHeight="1" s="163">
      <c r="A3318" s="319">
        <f>'CEI NILO PEÇANHA'!I19</f>
        <v/>
      </c>
      <c r="B3318" s="320">
        <f>'CEI NILO PEÇANHA'!D19</f>
        <v/>
      </c>
    </row>
    <row r="3319" ht="15" customHeight="1" s="163">
      <c r="A3319" s="319">
        <f>'CEI NILO PEÇANHA'!I20</f>
        <v/>
      </c>
      <c r="B3319" s="320">
        <f>'CEI NILO PEÇANHA'!D20</f>
        <v/>
      </c>
    </row>
    <row r="3320" ht="15" customHeight="1" s="163">
      <c r="A3320" s="319">
        <f>'CEI NILO PEÇANHA'!I21</f>
        <v/>
      </c>
      <c r="B3320" s="320">
        <f>'CEI NILO PEÇANHA'!D21</f>
        <v/>
      </c>
    </row>
    <row r="3321" ht="15" customHeight="1" s="163">
      <c r="A3321" s="319">
        <f>'CEI NILO PEÇANHA'!I22</f>
        <v/>
      </c>
      <c r="B3321" s="320">
        <f>'CEI NILO PEÇANHA'!D22</f>
        <v/>
      </c>
    </row>
    <row r="3322" ht="15" customHeight="1" s="163">
      <c r="A3322" s="319">
        <f>'CEI NILO PEÇANHA'!I23</f>
        <v/>
      </c>
      <c r="B3322" s="320">
        <f>'CEI NILO PEÇANHA'!D23</f>
        <v/>
      </c>
    </row>
    <row r="3323" ht="15" customHeight="1" s="163">
      <c r="A3323" s="319">
        <f>'CEI NILO PEÇANHA'!I24</f>
        <v/>
      </c>
      <c r="B3323" s="320">
        <f>'CEI NILO PEÇANHA'!D24</f>
        <v/>
      </c>
    </row>
    <row r="3324" ht="15" customHeight="1" s="163">
      <c r="A3324" s="319">
        <f>'CEI NILO PEÇANHA'!I25</f>
        <v/>
      </c>
      <c r="B3324" s="320">
        <f>'CEI NILO PEÇANHA'!D25</f>
        <v/>
      </c>
    </row>
    <row r="3325" ht="15" customHeight="1" s="163">
      <c r="A3325" s="319">
        <f>'CEI NILO PEÇANHA'!I26</f>
        <v/>
      </c>
      <c r="B3325" s="320">
        <f>'CEI NILO PEÇANHA'!D26</f>
        <v/>
      </c>
    </row>
    <row r="3326" ht="15" customHeight="1" s="163">
      <c r="A3326" s="319">
        <f>'CEI NILO PEÇANHA'!I27</f>
        <v/>
      </c>
      <c r="B3326" s="320">
        <f>'CEI NILO PEÇANHA'!D27</f>
        <v/>
      </c>
    </row>
    <row r="3327" ht="15" customHeight="1" s="163">
      <c r="A3327" s="319">
        <f>'CENTRO DE EDUCAÇÃO INFANTIL AUG'!I9</f>
        <v/>
      </c>
      <c r="B3327" s="320">
        <f>'CENTRO DE EDUCAÇÃO INFANTIL AUG'!D9</f>
        <v/>
      </c>
    </row>
    <row r="3328" ht="15" customHeight="1" s="163">
      <c r="A3328" s="319">
        <f>'CENTRO DE EDUCAÇÃO INFANTIL AUG'!I10</f>
        <v/>
      </c>
      <c r="B3328" s="320">
        <f>'CENTRO DE EDUCAÇÃO INFANTIL AUG'!D10</f>
        <v/>
      </c>
    </row>
    <row r="3329" ht="15" customHeight="1" s="163">
      <c r="A3329" s="319">
        <f>'CENTRO DE EDUCAÇÃO INFANTIL AUG'!I11</f>
        <v/>
      </c>
      <c r="B3329" s="320">
        <f>'CENTRO DE EDUCAÇÃO INFANTIL AUG'!D11</f>
        <v/>
      </c>
    </row>
    <row r="3330" ht="15" customHeight="1" s="163">
      <c r="A3330" s="319">
        <f>'CENTRO DE EDUCAÇÃO INFANTIL AUG'!I12</f>
        <v/>
      </c>
      <c r="B3330" s="320">
        <f>'CENTRO DE EDUCAÇÃO INFANTIL AUG'!D12</f>
        <v/>
      </c>
    </row>
    <row r="3331" ht="15" customHeight="1" s="163">
      <c r="A3331" s="319">
        <f>'CENTRO DE EDUCAÇÃO INFANTIL AUG'!I13</f>
        <v/>
      </c>
      <c r="B3331" s="320">
        <f>'CENTRO DE EDUCAÇÃO INFANTIL AUG'!D13</f>
        <v/>
      </c>
    </row>
    <row r="3332" ht="15" customHeight="1" s="163">
      <c r="A3332" s="319">
        <f>'CENTRO DE EDUCAÇÃO INFANTIL AUG'!I14</f>
        <v/>
      </c>
      <c r="B3332" s="320">
        <f>'CENTRO DE EDUCAÇÃO INFANTIL AUG'!D14</f>
        <v/>
      </c>
    </row>
    <row r="3333" ht="15" customHeight="1" s="163">
      <c r="A3333" s="319">
        <f>'CENTRO DE EDUCAÇÃO INFANTIL AUG'!I15</f>
        <v/>
      </c>
      <c r="B3333" s="320">
        <f>'CENTRO DE EDUCAÇÃO INFANTIL AUG'!D15</f>
        <v/>
      </c>
    </row>
    <row r="3334" ht="15" customHeight="1" s="163">
      <c r="A3334" s="319">
        <f>'CENTRO DE EDUCAÇÃO INFANTIL AUG'!I16</f>
        <v/>
      </c>
      <c r="B3334" s="320">
        <f>'CENTRO DE EDUCAÇÃO INFANTIL AUG'!D16</f>
        <v/>
      </c>
    </row>
    <row r="3335" ht="15" customHeight="1" s="163">
      <c r="A3335" s="319">
        <f>'CENTRO DE EDUCAÇÃO INFANTIL AUG'!I17</f>
        <v/>
      </c>
      <c r="B3335" s="320">
        <f>'CENTRO DE EDUCAÇÃO INFANTIL AUG'!D17</f>
        <v/>
      </c>
    </row>
    <row r="3336" ht="15" customHeight="1" s="163">
      <c r="A3336" s="319">
        <f>'CENTRO DE EDUCAÇÃO INFANTIL AUG'!I18</f>
        <v/>
      </c>
      <c r="B3336" s="320">
        <f>'CENTRO DE EDUCAÇÃO INFANTIL AUG'!D18</f>
        <v/>
      </c>
    </row>
    <row r="3337" ht="15" customHeight="1" s="163">
      <c r="A3337" s="319">
        <f>'CENTRO DE EDUCAÇÃO INFANTIL AUG'!I19</f>
        <v/>
      </c>
      <c r="B3337" s="320">
        <f>'CENTRO DE EDUCAÇÃO INFANTIL AUG'!D19</f>
        <v/>
      </c>
    </row>
    <row r="3338" ht="15" customHeight="1" s="163">
      <c r="A3338" s="319">
        <f>'CENTRO DE EDUCAÇÃO INFANTIL AUG'!I20</f>
        <v/>
      </c>
      <c r="B3338" s="320">
        <f>'CENTRO DE EDUCAÇÃO INFANTIL AUG'!D20</f>
        <v/>
      </c>
    </row>
    <row r="3339" ht="15" customHeight="1" s="163">
      <c r="A3339" s="319">
        <f>'CENTRO DE EDUCAÇÃO INFANTIL AUG'!I21</f>
        <v/>
      </c>
      <c r="B3339" s="320">
        <f>'CENTRO DE EDUCAÇÃO INFANTIL AUG'!D21</f>
        <v/>
      </c>
    </row>
    <row r="3340" ht="15" customHeight="1" s="163">
      <c r="A3340" s="319">
        <f>'CENTRO DE EDUCAÇÃO INFANTIL AUG'!I22</f>
        <v/>
      </c>
      <c r="B3340" s="320">
        <f>'CENTRO DE EDUCAÇÃO INFANTIL AUG'!D22</f>
        <v/>
      </c>
    </row>
    <row r="3341" ht="15" customHeight="1" s="163">
      <c r="A3341" s="319">
        <f>'CENTRO DE EDUCAÇÃO INFANTIL AUG'!I23</f>
        <v/>
      </c>
      <c r="B3341" s="320">
        <f>'CENTRO DE EDUCAÇÃO INFANTIL AUG'!D23</f>
        <v/>
      </c>
    </row>
    <row r="3342" ht="15" customHeight="1" s="163">
      <c r="A3342" s="319">
        <f>'CENTRO DE EDUCAÇÃO INFANTIL AUG'!I24</f>
        <v/>
      </c>
      <c r="B3342" s="320">
        <f>'CENTRO DE EDUCAÇÃO INFANTIL AUG'!D24</f>
        <v/>
      </c>
    </row>
    <row r="3343" ht="15" customHeight="1" s="163">
      <c r="A3343" s="319">
        <f>'CENTRO DE EDUCAÇÃO INFANTIL AUG'!I25</f>
        <v/>
      </c>
      <c r="B3343" s="320">
        <f>'CENTRO DE EDUCAÇÃO INFANTIL AUG'!D25</f>
        <v/>
      </c>
    </row>
    <row r="3344" ht="15" customHeight="1" s="163">
      <c r="A3344" s="319">
        <f>'CENTRO DE EDUCAÇÃO INFANTIL AUG'!I26</f>
        <v/>
      </c>
      <c r="B3344" s="320">
        <f>'CENTRO DE EDUCAÇÃO INFANTIL AUG'!D26</f>
        <v/>
      </c>
    </row>
    <row r="3345" ht="15" customHeight="1" s="163">
      <c r="A3345" s="319">
        <f>'CENTRO DE EDUCAÇÃO INFANTIL AUG'!I27</f>
        <v/>
      </c>
      <c r="B3345" s="320">
        <f>'CENTRO DE EDUCAÇÃO INFANTIL AUG'!D27</f>
        <v/>
      </c>
    </row>
    <row r="3346" ht="15" customHeight="1" s="163">
      <c r="A3346" s="319">
        <f>'CEI THEREZINHA DE JESUS LIMA'!I9</f>
        <v/>
      </c>
      <c r="B3346" s="320">
        <f>'CEI THEREZINHA DE JESUS LIMA'!D9</f>
        <v/>
      </c>
    </row>
    <row r="3347" ht="15" customHeight="1" s="163">
      <c r="A3347" s="319">
        <f>'CEI THEREZINHA DE JESUS LIMA'!I10</f>
        <v/>
      </c>
      <c r="B3347" s="320">
        <f>'CEI THEREZINHA DE JESUS LIMA'!D10</f>
        <v/>
      </c>
    </row>
    <row r="3348" ht="15" customHeight="1" s="163">
      <c r="A3348" s="319">
        <f>'CEI THEREZINHA DE JESUS LIMA'!I11</f>
        <v/>
      </c>
      <c r="B3348" s="320">
        <f>'CEI THEREZINHA DE JESUS LIMA'!D11</f>
        <v/>
      </c>
    </row>
    <row r="3349" ht="15" customHeight="1" s="163">
      <c r="A3349" s="319">
        <f>'CEI THEREZINHA DE JESUS LIMA'!I12</f>
        <v/>
      </c>
      <c r="B3349" s="320">
        <f>'CEI THEREZINHA DE JESUS LIMA'!D12</f>
        <v/>
      </c>
    </row>
    <row r="3350" ht="15" customHeight="1" s="163">
      <c r="A3350" s="319">
        <f>'CEI THEREZINHA DE JESUS LIMA'!I13</f>
        <v/>
      </c>
      <c r="B3350" s="320">
        <f>'CEI THEREZINHA DE JESUS LIMA'!D13</f>
        <v/>
      </c>
    </row>
    <row r="3351" ht="15" customHeight="1" s="163">
      <c r="A3351" s="319">
        <f>'CEI THEREZINHA DE JESUS LIMA'!I14</f>
        <v/>
      </c>
      <c r="B3351" s="320">
        <f>'CEI THEREZINHA DE JESUS LIMA'!D14</f>
        <v/>
      </c>
    </row>
    <row r="3352" ht="15" customHeight="1" s="163">
      <c r="A3352" s="319">
        <f>'CEI THEREZINHA DE JESUS LIMA'!I15</f>
        <v/>
      </c>
      <c r="B3352" s="320">
        <f>'CEI THEREZINHA DE JESUS LIMA'!D15</f>
        <v/>
      </c>
    </row>
    <row r="3353" ht="15" customHeight="1" s="163">
      <c r="A3353" s="319">
        <f>'CEI THEREZINHA DE JESUS LIMA'!I16</f>
        <v/>
      </c>
      <c r="B3353" s="320">
        <f>'CEI THEREZINHA DE JESUS LIMA'!D16</f>
        <v/>
      </c>
    </row>
    <row r="3354" ht="15" customHeight="1" s="163">
      <c r="A3354" s="319">
        <f>'CEI THEREZINHA DE JESUS LIMA'!I17</f>
        <v/>
      </c>
      <c r="B3354" s="320">
        <f>'CEI THEREZINHA DE JESUS LIMA'!D17</f>
        <v/>
      </c>
    </row>
    <row r="3355" ht="15" customHeight="1" s="163">
      <c r="A3355" s="319">
        <f>'CEI THEREZINHA DE JESUS LIMA'!I18</f>
        <v/>
      </c>
      <c r="B3355" s="320">
        <f>'CEI THEREZINHA DE JESUS LIMA'!D18</f>
        <v/>
      </c>
    </row>
    <row r="3356" ht="15" customHeight="1" s="163">
      <c r="A3356" s="319">
        <f>'CEI THEREZINHA DE JESUS LIMA'!I19</f>
        <v/>
      </c>
      <c r="B3356" s="320">
        <f>'CEI THEREZINHA DE JESUS LIMA'!D19</f>
        <v/>
      </c>
    </row>
    <row r="3357" ht="15" customHeight="1" s="163">
      <c r="A3357" s="319">
        <f>'CEI THEREZINHA DE JESUS LIMA'!I20</f>
        <v/>
      </c>
      <c r="B3357" s="320">
        <f>'CEI THEREZINHA DE JESUS LIMA'!D20</f>
        <v/>
      </c>
    </row>
    <row r="3358" ht="15" customHeight="1" s="163">
      <c r="A3358" s="319">
        <f>'CEI THEREZINHA DE JESUS LIMA'!I21</f>
        <v/>
      </c>
      <c r="B3358" s="320">
        <f>'CEI THEREZINHA DE JESUS LIMA'!D21</f>
        <v/>
      </c>
    </row>
    <row r="3359" ht="15" customHeight="1" s="163">
      <c r="A3359" s="319">
        <f>'CEI THEREZINHA DE JESUS LIMA'!I22</f>
        <v/>
      </c>
      <c r="B3359" s="320">
        <f>'CEI THEREZINHA DE JESUS LIMA'!D22</f>
        <v/>
      </c>
    </row>
    <row r="3360" ht="15" customHeight="1" s="163">
      <c r="A3360" s="319">
        <f>'CEI THEREZINHA DE JESUS LIMA'!I23</f>
        <v/>
      </c>
      <c r="B3360" s="320">
        <f>'CEI THEREZINHA DE JESUS LIMA'!D23</f>
        <v/>
      </c>
    </row>
    <row r="3361" ht="15" customHeight="1" s="163">
      <c r="A3361" s="319">
        <f>'CEI THEREZINHA DE JESUS LIMA'!I24</f>
        <v/>
      </c>
      <c r="B3361" s="320">
        <f>'CEI THEREZINHA DE JESUS LIMA'!D24</f>
        <v/>
      </c>
    </row>
    <row r="3362" ht="15" customHeight="1" s="163">
      <c r="A3362" s="319">
        <f>'CEI THEREZINHA DE JESUS LIMA'!I25</f>
        <v/>
      </c>
      <c r="B3362" s="320">
        <f>'CEI THEREZINHA DE JESUS LIMA'!D25</f>
        <v/>
      </c>
    </row>
    <row r="3363" ht="15" customHeight="1" s="163">
      <c r="A3363" s="319">
        <f>'CEI THEREZINHA DE JESUS LIMA'!I26</f>
        <v/>
      </c>
      <c r="B3363" s="320">
        <f>'CEI THEREZINHA DE JESUS LIMA'!D26</f>
        <v/>
      </c>
    </row>
    <row r="3364" ht="15" customHeight="1" s="163">
      <c r="A3364" s="319">
        <f>'CEI THEREZINHA DE JESUS LIMA'!I27</f>
        <v/>
      </c>
      <c r="B3364" s="320">
        <f>'CEI THEREZINHA DE JESUS LIMA'!D27</f>
        <v/>
      </c>
    </row>
    <row r="3365" ht="15" customHeight="1" s="163">
      <c r="A3365" s="319">
        <f>'CEI VIDEIRINHA'!I9</f>
        <v/>
      </c>
      <c r="B3365" s="320">
        <f>'CEI VIDEIRINHA'!D9</f>
        <v/>
      </c>
    </row>
    <row r="3366" ht="15" customHeight="1" s="163">
      <c r="A3366" s="319">
        <f>'CEI VIDEIRINHA'!I10</f>
        <v/>
      </c>
      <c r="B3366" s="320">
        <f>'CEI VIDEIRINHA'!D10</f>
        <v/>
      </c>
    </row>
    <row r="3367" ht="15" customHeight="1" s="163">
      <c r="A3367" s="319">
        <f>'CEI VIDEIRINHA'!I11</f>
        <v/>
      </c>
      <c r="B3367" s="320">
        <f>'CEI VIDEIRINHA'!D11</f>
        <v/>
      </c>
    </row>
    <row r="3368" ht="15" customHeight="1" s="163">
      <c r="A3368" s="319">
        <f>'CEI VIDEIRINHA'!I12</f>
        <v/>
      </c>
      <c r="B3368" s="320">
        <f>'CEI VIDEIRINHA'!D12</f>
        <v/>
      </c>
    </row>
    <row r="3369" ht="15" customHeight="1" s="163">
      <c r="A3369" s="319">
        <f>'CEI VIDEIRINHA'!I13</f>
        <v/>
      </c>
      <c r="B3369" s="320">
        <f>'CEI VIDEIRINHA'!D13</f>
        <v/>
      </c>
    </row>
    <row r="3370" ht="15" customHeight="1" s="163">
      <c r="A3370" s="319">
        <f>'CEI VIDEIRINHA'!I14</f>
        <v/>
      </c>
      <c r="B3370" s="320">
        <f>'CEI VIDEIRINHA'!D14</f>
        <v/>
      </c>
    </row>
    <row r="3371" ht="15" customHeight="1" s="163">
      <c r="A3371" s="319">
        <f>'CEI VIDEIRINHA'!I15</f>
        <v/>
      </c>
      <c r="B3371" s="320">
        <f>'CEI VIDEIRINHA'!D15</f>
        <v/>
      </c>
    </row>
    <row r="3372" ht="15" customHeight="1" s="163">
      <c r="A3372" s="319">
        <f>'CEI VIDEIRINHA'!I16</f>
        <v/>
      </c>
      <c r="B3372" s="320">
        <f>'CEI VIDEIRINHA'!D16</f>
        <v/>
      </c>
    </row>
    <row r="3373" ht="15" customHeight="1" s="163">
      <c r="A3373" s="319">
        <f>'CEI VIDEIRINHA'!I17</f>
        <v/>
      </c>
      <c r="B3373" s="320">
        <f>'CEI VIDEIRINHA'!D17</f>
        <v/>
      </c>
    </row>
    <row r="3374" ht="15" customHeight="1" s="163">
      <c r="A3374" s="319">
        <f>'CEI VIDEIRINHA'!I18</f>
        <v/>
      </c>
      <c r="B3374" s="320">
        <f>'CEI VIDEIRINHA'!D18</f>
        <v/>
      </c>
    </row>
    <row r="3375" ht="15" customHeight="1" s="163">
      <c r="A3375" s="319">
        <f>'CEI VIDEIRINHA'!I19</f>
        <v/>
      </c>
      <c r="B3375" s="320">
        <f>'CEI VIDEIRINHA'!D19</f>
        <v/>
      </c>
    </row>
    <row r="3376" ht="15" customHeight="1" s="163">
      <c r="A3376" s="319">
        <f>'CEI VIDEIRINHA'!I20</f>
        <v/>
      </c>
      <c r="B3376" s="320">
        <f>'CEI VIDEIRINHA'!D20</f>
        <v/>
      </c>
    </row>
    <row r="3377" ht="15" customHeight="1" s="163">
      <c r="A3377" s="319">
        <f>'CEI VIDEIRINHA'!I21</f>
        <v/>
      </c>
      <c r="B3377" s="320">
        <f>'CEI VIDEIRINHA'!D21</f>
        <v/>
      </c>
    </row>
    <row r="3378" ht="15" customHeight="1" s="163">
      <c r="A3378" s="319">
        <f>'CEI VIDEIRINHA'!I22</f>
        <v/>
      </c>
      <c r="B3378" s="320">
        <f>'CEI VIDEIRINHA'!D22</f>
        <v/>
      </c>
    </row>
    <row r="3379" ht="15" customHeight="1" s="163">
      <c r="A3379" s="319">
        <f>'CEI VIDEIRINHA'!I23</f>
        <v/>
      </c>
      <c r="B3379" s="320">
        <f>'CEI VIDEIRINHA'!D23</f>
        <v/>
      </c>
    </row>
    <row r="3380" ht="15" customHeight="1" s="163">
      <c r="A3380" s="319">
        <f>'CEI VIDEIRINHA'!I24</f>
        <v/>
      </c>
      <c r="B3380" s="320">
        <f>'CEI VIDEIRINHA'!D24</f>
        <v/>
      </c>
    </row>
    <row r="3381" ht="15" customHeight="1" s="163">
      <c r="A3381" s="319">
        <f>'CEI VIDEIRINHA'!I25</f>
        <v/>
      </c>
      <c r="B3381" s="320">
        <f>'CEI VIDEIRINHA'!D25</f>
        <v/>
      </c>
    </row>
    <row r="3382" ht="15" customHeight="1" s="163">
      <c r="A3382" s="319">
        <f>'CEI VIDEIRINHA'!I26</f>
        <v/>
      </c>
      <c r="B3382" s="320">
        <f>'CEI VIDEIRINHA'!D26</f>
        <v/>
      </c>
    </row>
    <row r="3383" ht="15" customHeight="1" s="163">
      <c r="A3383" s="319">
        <f>'CEI VIDEIRINHA'!I27</f>
        <v/>
      </c>
      <c r="B3383" s="320">
        <f>'CEI VIDEIRINHA'!D27</f>
        <v/>
      </c>
    </row>
    <row r="3384" ht="15" customHeight="1" s="163">
      <c r="A3384" s="319">
        <f>'CEI PROFª ADRIANA CONSTÂNCIO TR'!I9</f>
        <v/>
      </c>
      <c r="B3384" s="320">
        <f>'CEI PROFª ADRIANA CONSTÂNCIO TR'!D9</f>
        <v/>
      </c>
    </row>
    <row r="3385" ht="15" customHeight="1" s="163">
      <c r="A3385" s="319">
        <f>'CEI PROFª ADRIANA CONSTÂNCIO TR'!I10</f>
        <v/>
      </c>
      <c r="B3385" s="320">
        <f>'CEI PROFª ADRIANA CONSTÂNCIO TR'!D10</f>
        <v/>
      </c>
    </row>
    <row r="3386" ht="15" customHeight="1" s="163">
      <c r="A3386" s="319">
        <f>'CEI PROFª ADRIANA CONSTÂNCIO TR'!I11</f>
        <v/>
      </c>
      <c r="B3386" s="320">
        <f>'CEI PROFª ADRIANA CONSTÂNCIO TR'!D11</f>
        <v/>
      </c>
    </row>
    <row r="3387" ht="15" customHeight="1" s="163">
      <c r="A3387" s="319">
        <f>'CEI PROFª ADRIANA CONSTÂNCIO TR'!I12</f>
        <v/>
      </c>
      <c r="B3387" s="320">
        <f>'CEI PROFª ADRIANA CONSTÂNCIO TR'!D12</f>
        <v/>
      </c>
    </row>
    <row r="3388" ht="15" customHeight="1" s="163">
      <c r="A3388" s="319">
        <f>'CEI PROFª ADRIANA CONSTÂNCIO TR'!I13</f>
        <v/>
      </c>
      <c r="B3388" s="320">
        <f>'CEI PROFª ADRIANA CONSTÂNCIO TR'!D13</f>
        <v/>
      </c>
    </row>
    <row r="3389" ht="15" customHeight="1" s="163">
      <c r="A3389" s="319">
        <f>'CEI PROFª ADRIANA CONSTÂNCIO TR'!I14</f>
        <v/>
      </c>
      <c r="B3389" s="320">
        <f>'CEI PROFª ADRIANA CONSTÂNCIO TR'!D14</f>
        <v/>
      </c>
    </row>
    <row r="3390" ht="15" customHeight="1" s="163">
      <c r="A3390" s="319">
        <f>'CEI PROFª ADRIANA CONSTÂNCIO TR'!I15</f>
        <v/>
      </c>
      <c r="B3390" s="320">
        <f>'CEI PROFª ADRIANA CONSTÂNCIO TR'!D15</f>
        <v/>
      </c>
    </row>
    <row r="3391" ht="15" customHeight="1" s="163">
      <c r="A3391" s="319">
        <f>'CEI PROFª ADRIANA CONSTÂNCIO TR'!I16</f>
        <v/>
      </c>
      <c r="B3391" s="320">
        <f>'CEI PROFª ADRIANA CONSTÂNCIO TR'!D16</f>
        <v/>
      </c>
    </row>
    <row r="3392" ht="15" customHeight="1" s="163">
      <c r="A3392" s="319">
        <f>'CEI PROFª ADRIANA CONSTÂNCIO TR'!I17</f>
        <v/>
      </c>
      <c r="B3392" s="320">
        <f>'CEI PROFª ADRIANA CONSTÂNCIO TR'!D17</f>
        <v/>
      </c>
    </row>
    <row r="3393" ht="15" customHeight="1" s="163">
      <c r="A3393" s="319">
        <f>'CEI PROFª ADRIANA CONSTÂNCIO TR'!I18</f>
        <v/>
      </c>
      <c r="B3393" s="320">
        <f>'CEI PROFª ADRIANA CONSTÂNCIO TR'!D18</f>
        <v/>
      </c>
    </row>
    <row r="3394" ht="15" customHeight="1" s="163">
      <c r="A3394" s="319">
        <f>'CEI PROFª ADRIANA CONSTÂNCIO TR'!I19</f>
        <v/>
      </c>
      <c r="B3394" s="320">
        <f>'CEI PROFª ADRIANA CONSTÂNCIO TR'!D19</f>
        <v/>
      </c>
    </row>
    <row r="3395" ht="15" customHeight="1" s="163">
      <c r="A3395" s="319">
        <f>'CEI PROFª ADRIANA CONSTÂNCIO TR'!I20</f>
        <v/>
      </c>
      <c r="B3395" s="320">
        <f>'CEI PROFª ADRIANA CONSTÂNCIO TR'!D20</f>
        <v/>
      </c>
    </row>
    <row r="3396" ht="15" customHeight="1" s="163">
      <c r="A3396" s="319">
        <f>'CEI PROFª ADRIANA CONSTÂNCIO TR'!I21</f>
        <v/>
      </c>
      <c r="B3396" s="320">
        <f>'CEI PROFª ADRIANA CONSTÂNCIO TR'!D21</f>
        <v/>
      </c>
    </row>
    <row r="3397" ht="15" customHeight="1" s="163">
      <c r="A3397" s="319">
        <f>'CEI PROFª ADRIANA CONSTÂNCIO TR'!I22</f>
        <v/>
      </c>
      <c r="B3397" s="320">
        <f>'CEI PROFª ADRIANA CONSTÂNCIO TR'!D22</f>
        <v/>
      </c>
    </row>
    <row r="3398" ht="15" customHeight="1" s="163">
      <c r="A3398" s="319">
        <f>'CEI PROFª ADRIANA CONSTÂNCIO TR'!I23</f>
        <v/>
      </c>
      <c r="B3398" s="320">
        <f>'CEI PROFª ADRIANA CONSTÂNCIO TR'!D23</f>
        <v/>
      </c>
    </row>
    <row r="3399" ht="15" customHeight="1" s="163">
      <c r="A3399" s="319">
        <f>'CEI PROFª ADRIANA CONSTÂNCIO TR'!I24</f>
        <v/>
      </c>
      <c r="B3399" s="320">
        <f>'CEI PROFª ADRIANA CONSTÂNCIO TR'!D24</f>
        <v/>
      </c>
    </row>
    <row r="3400" ht="15" customHeight="1" s="163">
      <c r="A3400" s="319">
        <f>'CEI PROFª ADRIANA CONSTÂNCIO TR'!I25</f>
        <v/>
      </c>
      <c r="B3400" s="320">
        <f>'CEI PROFª ADRIANA CONSTÂNCIO TR'!D25</f>
        <v/>
      </c>
    </row>
    <row r="3401" ht="15" customHeight="1" s="163">
      <c r="A3401" s="319">
        <f>'CEI PROFª ADRIANA CONSTÂNCIO TR'!I26</f>
        <v/>
      </c>
      <c r="B3401" s="320">
        <f>'CEI PROFª ADRIANA CONSTÂNCIO TR'!D26</f>
        <v/>
      </c>
    </row>
    <row r="3402" ht="15" customHeight="1" s="163">
      <c r="A3402" s="319">
        <f>'CEI PROFª ADRIANA CONSTÂNCIO TR'!I27</f>
        <v/>
      </c>
      <c r="B3402" s="320">
        <f>'CEI PROFª ADRIANA CONSTÂNCIO TR'!D27</f>
        <v/>
      </c>
    </row>
    <row r="3403" ht="15" customHeight="1" s="163">
      <c r="A3403" s="319">
        <f>'CENTRO DE EDUCAÇÃO INFANTIL SÉR'!I9</f>
        <v/>
      </c>
      <c r="B3403" s="320">
        <f>'CENTRO DE EDUCAÇÃO INFANTIL SÉR'!D9</f>
        <v/>
      </c>
    </row>
    <row r="3404" ht="15" customHeight="1" s="163">
      <c r="A3404" s="319">
        <f>'CENTRO DE EDUCAÇÃO INFANTIL SÉR'!I10</f>
        <v/>
      </c>
      <c r="B3404" s="320">
        <f>'CENTRO DE EDUCAÇÃO INFANTIL SÉR'!D10</f>
        <v/>
      </c>
    </row>
    <row r="3405" ht="15" customHeight="1" s="163">
      <c r="A3405" s="319">
        <f>'CENTRO DE EDUCAÇÃO INFANTIL SÉR'!I11</f>
        <v/>
      </c>
      <c r="B3405" s="320">
        <f>'CENTRO DE EDUCAÇÃO INFANTIL SÉR'!D11</f>
        <v/>
      </c>
    </row>
    <row r="3406" ht="15" customHeight="1" s="163">
      <c r="A3406" s="319">
        <f>'CENTRO DE EDUCAÇÃO INFANTIL SÉR'!I12</f>
        <v/>
      </c>
      <c r="B3406" s="320">
        <f>'CENTRO DE EDUCAÇÃO INFANTIL SÉR'!D12</f>
        <v/>
      </c>
    </row>
    <row r="3407" ht="15" customHeight="1" s="163">
      <c r="A3407" s="319">
        <f>'CENTRO DE EDUCAÇÃO INFANTIL SÉR'!I13</f>
        <v/>
      </c>
      <c r="B3407" s="320">
        <f>'CENTRO DE EDUCAÇÃO INFANTIL SÉR'!D13</f>
        <v/>
      </c>
    </row>
    <row r="3408" ht="15" customHeight="1" s="163">
      <c r="A3408" s="319">
        <f>'CENTRO DE EDUCAÇÃO INFANTIL SÉR'!I14</f>
        <v/>
      </c>
      <c r="B3408" s="320">
        <f>'CENTRO DE EDUCAÇÃO INFANTIL SÉR'!D14</f>
        <v/>
      </c>
    </row>
    <row r="3409" ht="15" customHeight="1" s="163">
      <c r="A3409" s="319">
        <f>'CENTRO DE EDUCAÇÃO INFANTIL SÉR'!I15</f>
        <v/>
      </c>
      <c r="B3409" s="320">
        <f>'CENTRO DE EDUCAÇÃO INFANTIL SÉR'!D15</f>
        <v/>
      </c>
    </row>
    <row r="3410" ht="15" customHeight="1" s="163">
      <c r="A3410" s="319">
        <f>'CENTRO DE EDUCAÇÃO INFANTIL SÉR'!I16</f>
        <v/>
      </c>
      <c r="B3410" s="320">
        <f>'CENTRO DE EDUCAÇÃO INFANTIL SÉR'!D16</f>
        <v/>
      </c>
    </row>
    <row r="3411" ht="15" customHeight="1" s="163">
      <c r="A3411" s="319">
        <f>'CENTRO DE EDUCAÇÃO INFANTIL SÉR'!I17</f>
        <v/>
      </c>
      <c r="B3411" s="320">
        <f>'CENTRO DE EDUCAÇÃO INFANTIL SÉR'!D17</f>
        <v/>
      </c>
    </row>
    <row r="3412" ht="15" customHeight="1" s="163">
      <c r="A3412" s="319">
        <f>'CENTRO DE EDUCAÇÃO INFANTIL SÉR'!I18</f>
        <v/>
      </c>
      <c r="B3412" s="320">
        <f>'CENTRO DE EDUCAÇÃO INFANTIL SÉR'!D18</f>
        <v/>
      </c>
    </row>
    <row r="3413" ht="15" customHeight="1" s="163">
      <c r="A3413" s="319">
        <f>'CENTRO DE EDUCAÇÃO INFANTIL SÉR'!I19</f>
        <v/>
      </c>
      <c r="B3413" s="320">
        <f>'CENTRO DE EDUCAÇÃO INFANTIL SÉR'!D19</f>
        <v/>
      </c>
    </row>
    <row r="3414" ht="15" customHeight="1" s="163">
      <c r="A3414" s="319">
        <f>'CENTRO DE EDUCAÇÃO INFANTIL SÉR'!I20</f>
        <v/>
      </c>
      <c r="B3414" s="320">
        <f>'CENTRO DE EDUCAÇÃO INFANTIL SÉR'!D20</f>
        <v/>
      </c>
    </row>
    <row r="3415" ht="15" customHeight="1" s="163">
      <c r="A3415" s="319">
        <f>'CENTRO DE EDUCAÇÃO INFANTIL SÉR'!I21</f>
        <v/>
      </c>
      <c r="B3415" s="320">
        <f>'CENTRO DE EDUCAÇÃO INFANTIL SÉR'!D21</f>
        <v/>
      </c>
    </row>
    <row r="3416" ht="15" customHeight="1" s="163">
      <c r="A3416" s="319">
        <f>'CENTRO DE EDUCAÇÃO INFANTIL SÉR'!I22</f>
        <v/>
      </c>
      <c r="B3416" s="320">
        <f>'CENTRO DE EDUCAÇÃO INFANTIL SÉR'!D22</f>
        <v/>
      </c>
    </row>
    <row r="3417" ht="15" customHeight="1" s="163">
      <c r="A3417" s="319">
        <f>'CENTRO DE EDUCAÇÃO INFANTIL SÉR'!I23</f>
        <v/>
      </c>
      <c r="B3417" s="320">
        <f>'CENTRO DE EDUCAÇÃO INFANTIL SÉR'!D23</f>
        <v/>
      </c>
    </row>
    <row r="3418" ht="15" customHeight="1" s="163">
      <c r="A3418" s="319">
        <f>'CENTRO DE EDUCAÇÃO INFANTIL SÉR'!I24</f>
        <v/>
      </c>
      <c r="B3418" s="320">
        <f>'CENTRO DE EDUCAÇÃO INFANTIL SÉR'!D24</f>
        <v/>
      </c>
    </row>
    <row r="3419" ht="15" customHeight="1" s="163">
      <c r="A3419" s="319">
        <f>'CENTRO DE EDUCAÇÃO INFANTIL SÉR'!I25</f>
        <v/>
      </c>
      <c r="B3419" s="320">
        <f>'CENTRO DE EDUCAÇÃO INFANTIL SÉR'!D25</f>
        <v/>
      </c>
    </row>
    <row r="3420" ht="15" customHeight="1" s="163">
      <c r="A3420" s="319">
        <f>'CENTRO DE EDUCAÇÃO INFANTIL SÉR'!I26</f>
        <v/>
      </c>
      <c r="B3420" s="320">
        <f>'CENTRO DE EDUCAÇÃO INFANTIL SÉR'!D26</f>
        <v/>
      </c>
    </row>
    <row r="3421" ht="15" customHeight="1" s="163">
      <c r="A3421" s="319">
        <f>'CENTRO DE EDUCAÇÃO INFANTIL SÉR'!I27</f>
        <v/>
      </c>
      <c r="B3421" s="320">
        <f>'CENTRO DE EDUCAÇÃO INFANTIL SÉR'!D27</f>
        <v/>
      </c>
    </row>
    <row r="3422" ht="15" customHeight="1" s="163">
      <c r="A3422" s="319">
        <f>'CEI JURACI PINTO DO AMARAL DE C'!I9</f>
        <v/>
      </c>
      <c r="B3422" s="320">
        <f>'CEI JURACI PINTO DO AMARAL DE C'!D9</f>
        <v/>
      </c>
    </row>
    <row r="3423" ht="15" customHeight="1" s="163">
      <c r="A3423" s="319">
        <f>'CEI JURACI PINTO DO AMARAL DE C'!I10</f>
        <v/>
      </c>
      <c r="B3423" s="320">
        <f>'CEI JURACI PINTO DO AMARAL DE C'!D10</f>
        <v/>
      </c>
    </row>
    <row r="3424" ht="15" customHeight="1" s="163">
      <c r="A3424" s="319">
        <f>'CEI JURACI PINTO DO AMARAL DE C'!I11</f>
        <v/>
      </c>
      <c r="B3424" s="320">
        <f>'CEI JURACI PINTO DO AMARAL DE C'!D11</f>
        <v/>
      </c>
    </row>
    <row r="3425" ht="15" customHeight="1" s="163">
      <c r="A3425" s="319">
        <f>'CEI JURACI PINTO DO AMARAL DE C'!I12</f>
        <v/>
      </c>
      <c r="B3425" s="320">
        <f>'CEI JURACI PINTO DO AMARAL DE C'!D12</f>
        <v/>
      </c>
    </row>
    <row r="3426" ht="15" customHeight="1" s="163">
      <c r="A3426" s="319">
        <f>'CEI JURACI PINTO DO AMARAL DE C'!I13</f>
        <v/>
      </c>
      <c r="B3426" s="320">
        <f>'CEI JURACI PINTO DO AMARAL DE C'!D13</f>
        <v/>
      </c>
    </row>
    <row r="3427" ht="15" customHeight="1" s="163">
      <c r="A3427" s="319">
        <f>'CEI JURACI PINTO DO AMARAL DE C'!I14</f>
        <v/>
      </c>
      <c r="B3427" s="320">
        <f>'CEI JURACI PINTO DO AMARAL DE C'!D14</f>
        <v/>
      </c>
    </row>
    <row r="3428" ht="15" customHeight="1" s="163">
      <c r="A3428" s="319">
        <f>'CEI JURACI PINTO DO AMARAL DE C'!I15</f>
        <v/>
      </c>
      <c r="B3428" s="320">
        <f>'CEI JURACI PINTO DO AMARAL DE C'!D15</f>
        <v/>
      </c>
    </row>
    <row r="3429" ht="15" customHeight="1" s="163">
      <c r="A3429" s="319">
        <f>'CEI JURACI PINTO DO AMARAL DE C'!I16</f>
        <v/>
      </c>
      <c r="B3429" s="320">
        <f>'CEI JURACI PINTO DO AMARAL DE C'!D16</f>
        <v/>
      </c>
    </row>
    <row r="3430" ht="15" customHeight="1" s="163">
      <c r="A3430" s="319">
        <f>'CEI JURACI PINTO DO AMARAL DE C'!I17</f>
        <v/>
      </c>
      <c r="B3430" s="320">
        <f>'CEI JURACI PINTO DO AMARAL DE C'!D17</f>
        <v/>
      </c>
    </row>
    <row r="3431" ht="15" customHeight="1" s="163">
      <c r="A3431" s="319">
        <f>'CEI JURACI PINTO DO AMARAL DE C'!I18</f>
        <v/>
      </c>
      <c r="B3431" s="320">
        <f>'CEI JURACI PINTO DO AMARAL DE C'!D18</f>
        <v/>
      </c>
    </row>
    <row r="3432" ht="15" customHeight="1" s="163">
      <c r="A3432" s="319">
        <f>'CEI JURACI PINTO DO AMARAL DE C'!I19</f>
        <v/>
      </c>
      <c r="B3432" s="320">
        <f>'CEI JURACI PINTO DO AMARAL DE C'!D19</f>
        <v/>
      </c>
    </row>
    <row r="3433" ht="15" customHeight="1" s="163">
      <c r="A3433" s="319">
        <f>'CEI JURACI PINTO DO AMARAL DE C'!I20</f>
        <v/>
      </c>
      <c r="B3433" s="320">
        <f>'CEI JURACI PINTO DO AMARAL DE C'!D20</f>
        <v/>
      </c>
    </row>
    <row r="3434" ht="15" customHeight="1" s="163">
      <c r="A3434" s="319">
        <f>'CEI JURACI PINTO DO AMARAL DE C'!I21</f>
        <v/>
      </c>
      <c r="B3434" s="320">
        <f>'CEI JURACI PINTO DO AMARAL DE C'!D21</f>
        <v/>
      </c>
    </row>
    <row r="3435" ht="15" customHeight="1" s="163">
      <c r="A3435" s="319">
        <f>'CEI JURACI PINTO DO AMARAL DE C'!I22</f>
        <v/>
      </c>
      <c r="B3435" s="320">
        <f>'CEI JURACI PINTO DO AMARAL DE C'!D22</f>
        <v/>
      </c>
    </row>
    <row r="3436" ht="15" customHeight="1" s="163">
      <c r="A3436" s="319">
        <f>'CEI JURACI PINTO DO AMARAL DE C'!I23</f>
        <v/>
      </c>
      <c r="B3436" s="320">
        <f>'CEI JURACI PINTO DO AMARAL DE C'!D23</f>
        <v/>
      </c>
    </row>
    <row r="3437" ht="15" customHeight="1" s="163">
      <c r="A3437" s="319">
        <f>'CEI JURACI PINTO DO AMARAL DE C'!I24</f>
        <v/>
      </c>
      <c r="B3437" s="320">
        <f>'CEI JURACI PINTO DO AMARAL DE C'!D24</f>
        <v/>
      </c>
    </row>
    <row r="3438" ht="15" customHeight="1" s="163">
      <c r="A3438" s="319">
        <f>'CEI JURACI PINTO DO AMARAL DE C'!I25</f>
        <v/>
      </c>
      <c r="B3438" s="320">
        <f>'CEI JURACI PINTO DO AMARAL DE C'!D25</f>
        <v/>
      </c>
    </row>
    <row r="3439" ht="15" customHeight="1" s="163">
      <c r="A3439" s="319">
        <f>'CEI JURACI PINTO DO AMARAL DE C'!I26</f>
        <v/>
      </c>
      <c r="B3439" s="320">
        <f>'CEI JURACI PINTO DO AMARAL DE C'!D26</f>
        <v/>
      </c>
    </row>
    <row r="3440" ht="15" customHeight="1" s="163">
      <c r="A3440" s="319">
        <f>'CEI JURACI PINTO DO AMARAL DE C'!I27</f>
        <v/>
      </c>
      <c r="B3440" s="320">
        <f>'CEI JURACI PINTO DO AMARAL DE C'!D27</f>
        <v/>
      </c>
    </row>
    <row r="3441" ht="15" customHeight="1" s="163">
      <c r="A3441" s="319">
        <f>'CEI NOSSA SENHORA DA GLÓRIA'!I9</f>
        <v/>
      </c>
      <c r="B3441" s="320">
        <f>'CEI NOSSA SENHORA DA GLÓRIA'!D9</f>
        <v/>
      </c>
    </row>
    <row r="3442" ht="15" customHeight="1" s="163">
      <c r="A3442" s="319">
        <f>'CEI NOSSA SENHORA DA GLÓRIA'!I10</f>
        <v/>
      </c>
      <c r="B3442" s="320">
        <f>'CEI NOSSA SENHORA DA GLÓRIA'!D10</f>
        <v/>
      </c>
    </row>
    <row r="3443" ht="15" customHeight="1" s="163">
      <c r="A3443" s="319">
        <f>'CEI NOSSA SENHORA DA GLÓRIA'!I11</f>
        <v/>
      </c>
      <c r="B3443" s="320">
        <f>'CEI NOSSA SENHORA DA GLÓRIA'!D11</f>
        <v/>
      </c>
    </row>
    <row r="3444" ht="15" customHeight="1" s="163">
      <c r="A3444" s="319">
        <f>'CEI NOSSA SENHORA DA GLÓRIA'!I12</f>
        <v/>
      </c>
      <c r="B3444" s="320">
        <f>'CEI NOSSA SENHORA DA GLÓRIA'!D12</f>
        <v/>
      </c>
    </row>
    <row r="3445" ht="15" customHeight="1" s="163">
      <c r="A3445" s="319">
        <f>'CEI NOSSA SENHORA DA GLÓRIA'!I13</f>
        <v/>
      </c>
      <c r="B3445" s="320">
        <f>'CEI NOSSA SENHORA DA GLÓRIA'!D13</f>
        <v/>
      </c>
    </row>
    <row r="3446" ht="15" customHeight="1" s="163">
      <c r="A3446" s="319">
        <f>'CEI NOSSA SENHORA DA GLÓRIA'!I14</f>
        <v/>
      </c>
      <c r="B3446" s="320">
        <f>'CEI NOSSA SENHORA DA GLÓRIA'!D14</f>
        <v/>
      </c>
    </row>
    <row r="3447" ht="15" customHeight="1" s="163">
      <c r="A3447" s="319">
        <f>'CEI NOSSA SENHORA DA GLÓRIA'!I15</f>
        <v/>
      </c>
      <c r="B3447" s="320">
        <f>'CEI NOSSA SENHORA DA GLÓRIA'!D15</f>
        <v/>
      </c>
    </row>
    <row r="3448" ht="15" customHeight="1" s="163">
      <c r="A3448" s="319">
        <f>'CEI NOSSA SENHORA DA GLÓRIA'!I16</f>
        <v/>
      </c>
      <c r="B3448" s="320">
        <f>'CEI NOSSA SENHORA DA GLÓRIA'!D16</f>
        <v/>
      </c>
    </row>
    <row r="3449" ht="15" customHeight="1" s="163">
      <c r="A3449" s="319">
        <f>'CEI NOSSA SENHORA DA GLÓRIA'!I17</f>
        <v/>
      </c>
      <c r="B3449" s="320">
        <f>'CEI NOSSA SENHORA DA GLÓRIA'!D17</f>
        <v/>
      </c>
    </row>
    <row r="3450" ht="15" customHeight="1" s="163">
      <c r="A3450" s="319">
        <f>'CEI NOSSA SENHORA DA GLÓRIA'!I18</f>
        <v/>
      </c>
      <c r="B3450" s="320">
        <f>'CEI NOSSA SENHORA DA GLÓRIA'!D18</f>
        <v/>
      </c>
    </row>
    <row r="3451" ht="15" customHeight="1" s="163">
      <c r="A3451" s="319">
        <f>'CEI NOSSA SENHORA DA GLÓRIA'!I19</f>
        <v/>
      </c>
      <c r="B3451" s="320">
        <f>'CEI NOSSA SENHORA DA GLÓRIA'!D19</f>
        <v/>
      </c>
    </row>
    <row r="3452" ht="15" customHeight="1" s="163">
      <c r="A3452" s="319">
        <f>'CEI NOSSA SENHORA DA GLÓRIA'!I20</f>
        <v/>
      </c>
      <c r="B3452" s="320">
        <f>'CEI NOSSA SENHORA DA GLÓRIA'!D20</f>
        <v/>
      </c>
    </row>
    <row r="3453" ht="15" customHeight="1" s="163">
      <c r="A3453" s="319">
        <f>'CEI NOSSA SENHORA DA GLÓRIA'!I21</f>
        <v/>
      </c>
      <c r="B3453" s="320">
        <f>'CEI NOSSA SENHORA DA GLÓRIA'!D21</f>
        <v/>
      </c>
    </row>
    <row r="3454" ht="15" customHeight="1" s="163">
      <c r="A3454" s="319">
        <f>'CEI NOSSA SENHORA DA GLÓRIA'!I22</f>
        <v/>
      </c>
      <c r="B3454" s="320">
        <f>'CEI NOSSA SENHORA DA GLÓRIA'!D22</f>
        <v/>
      </c>
    </row>
    <row r="3455" ht="15" customHeight="1" s="163">
      <c r="A3455" s="319">
        <f>'CEI NOSSA SENHORA DA GLÓRIA'!I23</f>
        <v/>
      </c>
      <c r="B3455" s="320">
        <f>'CEI NOSSA SENHORA DA GLÓRIA'!D23</f>
        <v/>
      </c>
    </row>
    <row r="3456" ht="15" customHeight="1" s="163">
      <c r="A3456" s="319">
        <f>'CEI NOSSA SENHORA DA GLÓRIA'!I24</f>
        <v/>
      </c>
      <c r="B3456" s="320">
        <f>'CEI NOSSA SENHORA DA GLÓRIA'!D24</f>
        <v/>
      </c>
    </row>
    <row r="3457" ht="15" customHeight="1" s="163">
      <c r="A3457" s="319">
        <f>'CEI NOSSA SENHORA DA GLÓRIA'!I25</f>
        <v/>
      </c>
      <c r="B3457" s="320">
        <f>'CEI NOSSA SENHORA DA GLÓRIA'!D25</f>
        <v/>
      </c>
    </row>
    <row r="3458" ht="15" customHeight="1" s="163">
      <c r="A3458" s="319">
        <f>'CEI NOSSA SENHORA DA GLÓRIA'!I26</f>
        <v/>
      </c>
      <c r="B3458" s="320">
        <f>'CEI NOSSA SENHORA DA GLÓRIA'!D26</f>
        <v/>
      </c>
    </row>
    <row r="3459" ht="15" customHeight="1" s="163">
      <c r="A3459" s="319">
        <f>'CEI NOSSA SENHORA DA GLÓRIA'!I27</f>
        <v/>
      </c>
      <c r="B3459" s="320">
        <f>'CEI NOSSA SENHORA DA GLÓRIA'!D27</f>
        <v/>
      </c>
    </row>
    <row r="3460" ht="15" customHeight="1" s="163">
      <c r="A3460" s="319">
        <f>'CEI ALTO INDEPENDÊNCIA'!I9</f>
        <v/>
      </c>
      <c r="B3460" s="320">
        <f>'CEI ALTO INDEPENDÊNCIA'!D9</f>
        <v/>
      </c>
    </row>
    <row r="3461" ht="15" customHeight="1" s="163">
      <c r="A3461" s="319">
        <f>'CEI ALTO INDEPENDÊNCIA'!I10</f>
        <v/>
      </c>
      <c r="B3461" s="320">
        <f>'CEI ALTO INDEPENDÊNCIA'!D10</f>
        <v/>
      </c>
    </row>
    <row r="3462" ht="15" customHeight="1" s="163">
      <c r="A3462" s="319">
        <f>'CEI ALTO INDEPENDÊNCIA'!I11</f>
        <v/>
      </c>
      <c r="B3462" s="320">
        <f>'CEI ALTO INDEPENDÊNCIA'!D11</f>
        <v/>
      </c>
    </row>
    <row r="3463" ht="15" customHeight="1" s="163">
      <c r="A3463" s="319">
        <f>'CEI ALTO INDEPENDÊNCIA'!I12</f>
        <v/>
      </c>
      <c r="B3463" s="320">
        <f>'CEI ALTO INDEPENDÊNCIA'!D12</f>
        <v/>
      </c>
    </row>
    <row r="3464" ht="15" customHeight="1" s="163">
      <c r="A3464" s="319">
        <f>'CEI ALTO INDEPENDÊNCIA'!I13</f>
        <v/>
      </c>
      <c r="B3464" s="320">
        <f>'CEI ALTO INDEPENDÊNCIA'!D13</f>
        <v/>
      </c>
    </row>
    <row r="3465" ht="15" customHeight="1" s="163">
      <c r="A3465" s="319">
        <f>'CEI ALTO INDEPENDÊNCIA'!I14</f>
        <v/>
      </c>
      <c r="B3465" s="320">
        <f>'CEI ALTO INDEPENDÊNCIA'!D14</f>
        <v/>
      </c>
    </row>
    <row r="3466" ht="15" customHeight="1" s="163">
      <c r="A3466" s="319">
        <f>'CEI ALTO INDEPENDÊNCIA'!I15</f>
        <v/>
      </c>
      <c r="B3466" s="320">
        <f>'CEI ALTO INDEPENDÊNCIA'!D15</f>
        <v/>
      </c>
    </row>
    <row r="3467" ht="15" customHeight="1" s="163">
      <c r="A3467" s="319">
        <f>'CEI ALTO INDEPENDÊNCIA'!I16</f>
        <v/>
      </c>
      <c r="B3467" s="320">
        <f>'CEI ALTO INDEPENDÊNCIA'!D16</f>
        <v/>
      </c>
    </row>
    <row r="3468" ht="15" customHeight="1" s="163">
      <c r="A3468" s="319">
        <f>'CEI ALTO INDEPENDÊNCIA'!I17</f>
        <v/>
      </c>
      <c r="B3468" s="320">
        <f>'CEI ALTO INDEPENDÊNCIA'!D17</f>
        <v/>
      </c>
    </row>
    <row r="3469" ht="15" customHeight="1" s="163">
      <c r="A3469" s="319">
        <f>'CEI ALTO INDEPENDÊNCIA'!I18</f>
        <v/>
      </c>
      <c r="B3469" s="320">
        <f>'CEI ALTO INDEPENDÊNCIA'!D18</f>
        <v/>
      </c>
    </row>
    <row r="3470" ht="15" customHeight="1" s="163">
      <c r="A3470" s="319">
        <f>'CEI ALTO INDEPENDÊNCIA'!I19</f>
        <v/>
      </c>
      <c r="B3470" s="320">
        <f>'CEI ALTO INDEPENDÊNCIA'!D19</f>
        <v/>
      </c>
    </row>
    <row r="3471" ht="15" customHeight="1" s="163">
      <c r="A3471" s="319">
        <f>'CEI ALTO INDEPENDÊNCIA'!I20</f>
        <v/>
      </c>
      <c r="B3471" s="320">
        <f>'CEI ALTO INDEPENDÊNCIA'!D20</f>
        <v/>
      </c>
    </row>
    <row r="3472" ht="15" customHeight="1" s="163">
      <c r="A3472" s="319">
        <f>'CEI ALTO INDEPENDÊNCIA'!I21</f>
        <v/>
      </c>
      <c r="B3472" s="320">
        <f>'CEI ALTO INDEPENDÊNCIA'!D21</f>
        <v/>
      </c>
    </row>
    <row r="3473" ht="15" customHeight="1" s="163">
      <c r="A3473" s="319">
        <f>'CEI ALTO INDEPENDÊNCIA'!I22</f>
        <v/>
      </c>
      <c r="B3473" s="320">
        <f>'CEI ALTO INDEPENDÊNCIA'!D22</f>
        <v/>
      </c>
    </row>
    <row r="3474" ht="15" customHeight="1" s="163">
      <c r="A3474" s="319">
        <f>'CEI ALTO INDEPENDÊNCIA'!I23</f>
        <v/>
      </c>
      <c r="B3474" s="320">
        <f>'CEI ALTO INDEPENDÊNCIA'!D23</f>
        <v/>
      </c>
    </row>
    <row r="3475" ht="15" customHeight="1" s="163">
      <c r="A3475" s="319">
        <f>'CEI ALTO INDEPENDÊNCIA'!I24</f>
        <v/>
      </c>
      <c r="B3475" s="320">
        <f>'CEI ALTO INDEPENDÊNCIA'!D24</f>
        <v/>
      </c>
    </row>
    <row r="3476" ht="15" customHeight="1" s="163">
      <c r="A3476" s="319">
        <f>'CEI ALTO INDEPENDÊNCIA'!I25</f>
        <v/>
      </c>
      <c r="B3476" s="320">
        <f>'CEI ALTO INDEPENDÊNCIA'!D25</f>
        <v/>
      </c>
    </row>
    <row r="3477" ht="15" customHeight="1" s="163">
      <c r="A3477" s="319">
        <f>'CEI ALTO INDEPENDÊNCIA'!I26</f>
        <v/>
      </c>
      <c r="B3477" s="320">
        <f>'CEI ALTO INDEPENDÊNCIA'!D26</f>
        <v/>
      </c>
    </row>
    <row r="3478" ht="15" customHeight="1" s="163">
      <c r="A3478" s="319">
        <f>'CEI ALTO INDEPENDÊNCIA'!I27</f>
        <v/>
      </c>
      <c r="B3478" s="320">
        <f>'CEI ALTO INDEPENDÊNCIA'!D27</f>
        <v/>
      </c>
    </row>
    <row r="3479" ht="15" customHeight="1" s="163">
      <c r="A3479" s="319">
        <f>'CEI SÃO JOSÉ DAS OBLATAS DE NAZ'!I9</f>
        <v/>
      </c>
      <c r="B3479" s="320">
        <f>'CEI SÃO JOSÉ DAS OBLATAS DE NAZ'!D9</f>
        <v/>
      </c>
    </row>
    <row r="3480" ht="15" customHeight="1" s="163">
      <c r="A3480" s="319">
        <f>'CEI SÃO JOSÉ DAS OBLATAS DE NAZ'!I10</f>
        <v/>
      </c>
      <c r="B3480" s="320">
        <f>'CEI SÃO JOSÉ DAS OBLATAS DE NAZ'!D10</f>
        <v/>
      </c>
    </row>
    <row r="3481" ht="15" customHeight="1" s="163">
      <c r="A3481" s="319">
        <f>'CEI SÃO JOSÉ DAS OBLATAS DE NAZ'!I11</f>
        <v/>
      </c>
      <c r="B3481" s="320">
        <f>'CEI SÃO JOSÉ DAS OBLATAS DE NAZ'!D11</f>
        <v/>
      </c>
    </row>
    <row r="3482" ht="15" customHeight="1" s="163">
      <c r="A3482" s="319">
        <f>'CEI SÃO JOSÉ DAS OBLATAS DE NAZ'!I12</f>
        <v/>
      </c>
      <c r="B3482" s="320">
        <f>'CEI SÃO JOSÉ DAS OBLATAS DE NAZ'!D12</f>
        <v/>
      </c>
    </row>
    <row r="3483" ht="15" customHeight="1" s="163">
      <c r="A3483" s="319">
        <f>'CEI SÃO JOSÉ DAS OBLATAS DE NAZ'!I13</f>
        <v/>
      </c>
      <c r="B3483" s="320">
        <f>'CEI SÃO JOSÉ DAS OBLATAS DE NAZ'!D13</f>
        <v/>
      </c>
    </row>
    <row r="3484" ht="15" customHeight="1" s="163">
      <c r="A3484" s="319">
        <f>'CEI SÃO JOSÉ DAS OBLATAS DE NAZ'!I14</f>
        <v/>
      </c>
      <c r="B3484" s="320">
        <f>'CEI SÃO JOSÉ DAS OBLATAS DE NAZ'!D14</f>
        <v/>
      </c>
    </row>
    <row r="3485" ht="15" customHeight="1" s="163">
      <c r="A3485" s="319">
        <f>'CEI SÃO JOSÉ DAS OBLATAS DE NAZ'!I15</f>
        <v/>
      </c>
      <c r="B3485" s="320">
        <f>'CEI SÃO JOSÉ DAS OBLATAS DE NAZ'!D15</f>
        <v/>
      </c>
    </row>
    <row r="3486" ht="15" customHeight="1" s="163">
      <c r="A3486" s="319">
        <f>'CEI SÃO JOSÉ DAS OBLATAS DE NAZ'!I16</f>
        <v/>
      </c>
      <c r="B3486" s="320">
        <f>'CEI SÃO JOSÉ DAS OBLATAS DE NAZ'!D16</f>
        <v/>
      </c>
    </row>
    <row r="3487" ht="15" customHeight="1" s="163">
      <c r="A3487" s="319">
        <f>'CEI SÃO JOSÉ DAS OBLATAS DE NAZ'!I17</f>
        <v/>
      </c>
      <c r="B3487" s="320">
        <f>'CEI SÃO JOSÉ DAS OBLATAS DE NAZ'!D17</f>
        <v/>
      </c>
    </row>
    <row r="3488" ht="15" customHeight="1" s="163">
      <c r="A3488" s="319">
        <f>'CEI SÃO JOSÉ DAS OBLATAS DE NAZ'!I18</f>
        <v/>
      </c>
      <c r="B3488" s="320">
        <f>'CEI SÃO JOSÉ DAS OBLATAS DE NAZ'!D18</f>
        <v/>
      </c>
    </row>
    <row r="3489" ht="15" customHeight="1" s="163">
      <c r="A3489" s="319">
        <f>'CEI SÃO JOSÉ DAS OBLATAS DE NAZ'!I19</f>
        <v/>
      </c>
      <c r="B3489" s="320">
        <f>'CEI SÃO JOSÉ DAS OBLATAS DE NAZ'!D19</f>
        <v/>
      </c>
    </row>
    <row r="3490" ht="15" customHeight="1" s="163">
      <c r="A3490" s="319">
        <f>'CEI SÃO JOSÉ DAS OBLATAS DE NAZ'!I20</f>
        <v/>
      </c>
      <c r="B3490" s="320">
        <f>'CEI SÃO JOSÉ DAS OBLATAS DE NAZ'!D20</f>
        <v/>
      </c>
    </row>
    <row r="3491" ht="15" customHeight="1" s="163">
      <c r="A3491" s="319">
        <f>'CEI SÃO JOSÉ DAS OBLATAS DE NAZ'!I21</f>
        <v/>
      </c>
      <c r="B3491" s="320">
        <f>'CEI SÃO JOSÉ DAS OBLATAS DE NAZ'!D21</f>
        <v/>
      </c>
    </row>
    <row r="3492" ht="15" customHeight="1" s="163">
      <c r="A3492" s="319">
        <f>'CEI SÃO JOSÉ DAS OBLATAS DE NAZ'!I22</f>
        <v/>
      </c>
      <c r="B3492" s="320">
        <f>'CEI SÃO JOSÉ DAS OBLATAS DE NAZ'!D22</f>
        <v/>
      </c>
    </row>
    <row r="3493" ht="15" customHeight="1" s="163">
      <c r="A3493" s="319">
        <f>'CEI SÃO JOSÉ DAS OBLATAS DE NAZ'!I23</f>
        <v/>
      </c>
      <c r="B3493" s="320">
        <f>'CEI SÃO JOSÉ DAS OBLATAS DE NAZ'!D23</f>
        <v/>
      </c>
    </row>
    <row r="3494" ht="15" customHeight="1" s="163">
      <c r="A3494" s="319">
        <f>'CEI SÃO JOSÉ DAS OBLATAS DE NAZ'!I24</f>
        <v/>
      </c>
      <c r="B3494" s="320">
        <f>'CEI SÃO JOSÉ DAS OBLATAS DE NAZ'!D24</f>
        <v/>
      </c>
    </row>
    <row r="3495" ht="15" customHeight="1" s="163">
      <c r="A3495" s="319">
        <f>'CEI SÃO JOSÉ DAS OBLATAS DE NAZ'!I25</f>
        <v/>
      </c>
      <c r="B3495" s="320">
        <f>'CEI SÃO JOSÉ DAS OBLATAS DE NAZ'!D25</f>
        <v/>
      </c>
    </row>
    <row r="3496" ht="15" customHeight="1" s="163">
      <c r="A3496" s="319">
        <f>'CEI SÃO JOSÉ DAS OBLATAS DE NAZ'!I26</f>
        <v/>
      </c>
      <c r="B3496" s="320">
        <f>'CEI SÃO JOSÉ DAS OBLATAS DE NAZ'!D26</f>
        <v/>
      </c>
    </row>
    <row r="3497" ht="15" customHeight="1" s="163">
      <c r="A3497" s="319">
        <f>'CEI SÃO JOSÉ DAS OBLATAS DE NAZ'!I27</f>
        <v/>
      </c>
      <c r="B3497" s="320">
        <f>'CEI SÃO JOSÉ DAS OBLATAS DE NAZ'!D27</f>
        <v/>
      </c>
    </row>
    <row r="3498" ht="15" customHeight="1" s="163">
      <c r="A3498" s="319">
        <f>'CEI SANTO ANTÔNIO AGOSTINHO'!I9</f>
        <v/>
      </c>
      <c r="B3498" s="320">
        <f>'CEI SANTO ANTÔNIO AGOSTINHO'!D9</f>
        <v/>
      </c>
    </row>
    <row r="3499" ht="15" customHeight="1" s="163">
      <c r="A3499" s="319">
        <f>'CEI SANTO ANTÔNIO AGOSTINHO'!I10</f>
        <v/>
      </c>
      <c r="B3499" s="320">
        <f>'CEI SANTO ANTÔNIO AGOSTINHO'!D10</f>
        <v/>
      </c>
    </row>
    <row r="3500" ht="15" customHeight="1" s="163">
      <c r="A3500" s="319">
        <f>'CEI SANTO ANTÔNIO AGOSTINHO'!I11</f>
        <v/>
      </c>
      <c r="B3500" s="320">
        <f>'CEI SANTO ANTÔNIO AGOSTINHO'!D11</f>
        <v/>
      </c>
    </row>
    <row r="3501" ht="15" customHeight="1" s="163">
      <c r="A3501" s="319">
        <f>'CEI SANTO ANTÔNIO AGOSTINHO'!I12</f>
        <v/>
      </c>
      <c r="B3501" s="320">
        <f>'CEI SANTO ANTÔNIO AGOSTINHO'!D12</f>
        <v/>
      </c>
    </row>
    <row r="3502" ht="15" customHeight="1" s="163">
      <c r="A3502" s="319">
        <f>'CEI SANTO ANTÔNIO AGOSTINHO'!I13</f>
        <v/>
      </c>
      <c r="B3502" s="320">
        <f>'CEI SANTO ANTÔNIO AGOSTINHO'!D13</f>
        <v/>
      </c>
    </row>
    <row r="3503" ht="15" customHeight="1" s="163">
      <c r="A3503" s="319">
        <f>'CEI SANTO ANTÔNIO AGOSTINHO'!I14</f>
        <v/>
      </c>
      <c r="B3503" s="320">
        <f>'CEI SANTO ANTÔNIO AGOSTINHO'!D14</f>
        <v/>
      </c>
    </row>
    <row r="3504" ht="15" customHeight="1" s="163">
      <c r="A3504" s="319">
        <f>'CEI SANTO ANTÔNIO AGOSTINHO'!I15</f>
        <v/>
      </c>
      <c r="B3504" s="320">
        <f>'CEI SANTO ANTÔNIO AGOSTINHO'!D15</f>
        <v/>
      </c>
    </row>
    <row r="3505" ht="15" customHeight="1" s="163">
      <c r="A3505" s="319">
        <f>'CEI SANTO ANTÔNIO AGOSTINHO'!I16</f>
        <v/>
      </c>
      <c r="B3505" s="320">
        <f>'CEI SANTO ANTÔNIO AGOSTINHO'!D16</f>
        <v/>
      </c>
    </row>
    <row r="3506" ht="15" customHeight="1" s="163">
      <c r="A3506" s="319">
        <f>'CEI SANTO ANTÔNIO AGOSTINHO'!I17</f>
        <v/>
      </c>
      <c r="B3506" s="320">
        <f>'CEI SANTO ANTÔNIO AGOSTINHO'!D17</f>
        <v/>
      </c>
    </row>
    <row r="3507" ht="15" customHeight="1" s="163">
      <c r="A3507" s="319">
        <f>'CEI SANTO ANTÔNIO AGOSTINHO'!I18</f>
        <v/>
      </c>
      <c r="B3507" s="320">
        <f>'CEI SANTO ANTÔNIO AGOSTINHO'!D18</f>
        <v/>
      </c>
    </row>
    <row r="3508" ht="15" customHeight="1" s="163">
      <c r="A3508" s="319">
        <f>'CEI SANTO ANTÔNIO AGOSTINHO'!I19</f>
        <v/>
      </c>
      <c r="B3508" s="320">
        <f>'CEI SANTO ANTÔNIO AGOSTINHO'!D19</f>
        <v/>
      </c>
    </row>
    <row r="3509" ht="15" customHeight="1" s="163">
      <c r="A3509" s="319">
        <f>'CEI SANTO ANTÔNIO AGOSTINHO'!I20</f>
        <v/>
      </c>
      <c r="B3509" s="320">
        <f>'CEI SANTO ANTÔNIO AGOSTINHO'!D20</f>
        <v/>
      </c>
    </row>
    <row r="3510" ht="15" customHeight="1" s="163">
      <c r="A3510" s="319">
        <f>'CEI SANTO ANTÔNIO AGOSTINHO'!I21</f>
        <v/>
      </c>
      <c r="B3510" s="320">
        <f>'CEI SANTO ANTÔNIO AGOSTINHO'!D21</f>
        <v/>
      </c>
    </row>
    <row r="3511" ht="15" customHeight="1" s="163">
      <c r="A3511" s="319">
        <f>'CEI SANTO ANTÔNIO AGOSTINHO'!I22</f>
        <v/>
      </c>
      <c r="B3511" s="320">
        <f>'CEI SANTO ANTÔNIO AGOSTINHO'!D22</f>
        <v/>
      </c>
    </row>
    <row r="3512" ht="15" customHeight="1" s="163">
      <c r="A3512" s="319">
        <f>'CEI SANTO ANTÔNIO AGOSTINHO'!I23</f>
        <v/>
      </c>
      <c r="B3512" s="320">
        <f>'CEI SANTO ANTÔNIO AGOSTINHO'!D23</f>
        <v/>
      </c>
    </row>
    <row r="3513" ht="15" customHeight="1" s="163">
      <c r="A3513" s="319">
        <f>'CEI SANTO ANTÔNIO AGOSTINHO'!I24</f>
        <v/>
      </c>
      <c r="B3513" s="320">
        <f>'CEI SANTO ANTÔNIO AGOSTINHO'!D24</f>
        <v/>
      </c>
    </row>
    <row r="3514" ht="15" customHeight="1" s="163">
      <c r="A3514" s="319">
        <f>'CEI SANTO ANTÔNIO AGOSTINHO'!I25</f>
        <v/>
      </c>
      <c r="B3514" s="320">
        <f>'CEI SANTO ANTÔNIO AGOSTINHO'!D25</f>
        <v/>
      </c>
    </row>
    <row r="3515" ht="15" customHeight="1" s="163">
      <c r="A3515" s="319">
        <f>'CEI SANTO ANTÔNIO AGOSTINHO'!I26</f>
        <v/>
      </c>
      <c r="B3515" s="320">
        <f>'CEI SANTO ANTÔNIO AGOSTINHO'!D26</f>
        <v/>
      </c>
    </row>
    <row r="3516" ht="15" customHeight="1" s="163">
      <c r="A3516" s="319">
        <f>'CEI SANTO ANTÔNIO AGOSTINHO'!I27</f>
        <v/>
      </c>
      <c r="B3516" s="320">
        <f>'CEI SANTO ANTÔNIO AGOSTINHO'!D27</f>
        <v/>
      </c>
    </row>
    <row r="3517" ht="15" customHeight="1" s="163">
      <c r="A3517" s="319">
        <f>'CEI SÃO CHARBEL'!I9</f>
        <v/>
      </c>
      <c r="B3517" s="320">
        <f>'CEI SÃO CHARBEL'!D9</f>
        <v/>
      </c>
    </row>
    <row r="3518" ht="15" customHeight="1" s="163">
      <c r="A3518" s="319">
        <f>'CEI SÃO CHARBEL'!I10</f>
        <v/>
      </c>
      <c r="B3518" s="320">
        <f>'CEI SÃO CHARBEL'!D10</f>
        <v/>
      </c>
    </row>
    <row r="3519" ht="15" customHeight="1" s="163">
      <c r="A3519" s="319">
        <f>'CEI SÃO CHARBEL'!I11</f>
        <v/>
      </c>
      <c r="B3519" s="320">
        <f>'CEI SÃO CHARBEL'!D11</f>
        <v/>
      </c>
    </row>
    <row r="3520" ht="15" customHeight="1" s="163">
      <c r="A3520" s="319">
        <f>'CEI SÃO CHARBEL'!I12</f>
        <v/>
      </c>
      <c r="B3520" s="320">
        <f>'CEI SÃO CHARBEL'!D12</f>
        <v/>
      </c>
    </row>
    <row r="3521" ht="15" customHeight="1" s="163">
      <c r="A3521" s="319">
        <f>'CEI SÃO CHARBEL'!I13</f>
        <v/>
      </c>
      <c r="B3521" s="320">
        <f>'CEI SÃO CHARBEL'!D13</f>
        <v/>
      </c>
    </row>
    <row r="3522" ht="15" customHeight="1" s="163">
      <c r="A3522" s="319">
        <f>'CEI SÃO CHARBEL'!I14</f>
        <v/>
      </c>
      <c r="B3522" s="320">
        <f>'CEI SÃO CHARBEL'!D14</f>
        <v/>
      </c>
    </row>
    <row r="3523" ht="15" customHeight="1" s="163">
      <c r="A3523" s="319">
        <f>'CEI SÃO CHARBEL'!I15</f>
        <v/>
      </c>
      <c r="B3523" s="320">
        <f>'CEI SÃO CHARBEL'!D15</f>
        <v/>
      </c>
    </row>
    <row r="3524" ht="15" customHeight="1" s="163">
      <c r="A3524" s="319">
        <f>'CEI SÃO CHARBEL'!I16</f>
        <v/>
      </c>
      <c r="B3524" s="320">
        <f>'CEI SÃO CHARBEL'!D16</f>
        <v/>
      </c>
    </row>
    <row r="3525" ht="15" customHeight="1" s="163">
      <c r="A3525" s="319">
        <f>'CEI SÃO CHARBEL'!I17</f>
        <v/>
      </c>
      <c r="B3525" s="320">
        <f>'CEI SÃO CHARBEL'!D17</f>
        <v/>
      </c>
    </row>
    <row r="3526" ht="15" customHeight="1" s="163">
      <c r="A3526" s="319">
        <f>'CEI SÃO CHARBEL'!I18</f>
        <v/>
      </c>
      <c r="B3526" s="320">
        <f>'CEI SÃO CHARBEL'!D18</f>
        <v/>
      </c>
    </row>
    <row r="3527" ht="15" customHeight="1" s="163">
      <c r="A3527" s="319">
        <f>'CEI SÃO CHARBEL'!I19</f>
        <v/>
      </c>
      <c r="B3527" s="320">
        <f>'CEI SÃO CHARBEL'!D19</f>
        <v/>
      </c>
    </row>
    <row r="3528" ht="15" customHeight="1" s="163">
      <c r="A3528" s="319">
        <f>'CEI SÃO CHARBEL'!I20</f>
        <v/>
      </c>
      <c r="B3528" s="320">
        <f>'CEI SÃO CHARBEL'!D20</f>
        <v/>
      </c>
    </row>
    <row r="3529" ht="15" customHeight="1" s="163">
      <c r="A3529" s="319">
        <f>'CEI SÃO CHARBEL'!I21</f>
        <v/>
      </c>
      <c r="B3529" s="320">
        <f>'CEI SÃO CHARBEL'!D21</f>
        <v/>
      </c>
    </row>
    <row r="3530" ht="15" customHeight="1" s="163">
      <c r="A3530" s="319">
        <f>'CEI SÃO CHARBEL'!I22</f>
        <v/>
      </c>
      <c r="B3530" s="320">
        <f>'CEI SÃO CHARBEL'!D22</f>
        <v/>
      </c>
    </row>
    <row r="3531" ht="15" customHeight="1" s="163">
      <c r="A3531" s="319">
        <f>'CEI SÃO CHARBEL'!I23</f>
        <v/>
      </c>
      <c r="B3531" s="320">
        <f>'CEI SÃO CHARBEL'!D23</f>
        <v/>
      </c>
    </row>
    <row r="3532" ht="15" customHeight="1" s="163">
      <c r="A3532" s="319">
        <f>'CEI SÃO CHARBEL'!I24</f>
        <v/>
      </c>
      <c r="B3532" s="320">
        <f>'CEI SÃO CHARBEL'!D24</f>
        <v/>
      </c>
    </row>
    <row r="3533" ht="15" customHeight="1" s="163">
      <c r="A3533" s="319">
        <f>'CEI SÃO CHARBEL'!I25</f>
        <v/>
      </c>
      <c r="B3533" s="320">
        <f>'CEI SÃO CHARBEL'!D25</f>
        <v/>
      </c>
    </row>
    <row r="3534" ht="15" customHeight="1" s="163">
      <c r="A3534" s="319">
        <f>'CEI SÃO CHARBEL'!I26</f>
        <v/>
      </c>
      <c r="B3534" s="320">
        <f>'CEI SÃO CHARBEL'!D26</f>
        <v/>
      </c>
    </row>
    <row r="3535" ht="15" customHeight="1" s="163">
      <c r="A3535" s="319">
        <f>'CEI SÃO CHARBEL'!I27</f>
        <v/>
      </c>
      <c r="B3535" s="320">
        <f>'CEI SÃO CHARBEL'!D27</f>
        <v/>
      </c>
    </row>
    <row r="3536" ht="15" customHeight="1" s="163">
      <c r="A3536" s="319">
        <f>'ASSOCIAÇÃO DA CRECHE SÃO FRANCI'!I9</f>
        <v/>
      </c>
      <c r="B3536" s="320">
        <f>'ASSOCIAÇÃO DA CRECHE SÃO FRANCI'!D9</f>
        <v/>
      </c>
    </row>
    <row r="3537" ht="15" customHeight="1" s="163">
      <c r="A3537" s="319">
        <f>'ASSOCIAÇÃO DA CRECHE SÃO FRANCI'!I10</f>
        <v/>
      </c>
      <c r="B3537" s="320">
        <f>'ASSOCIAÇÃO DA CRECHE SÃO FRANCI'!D10</f>
        <v/>
      </c>
    </row>
    <row r="3538" ht="15" customHeight="1" s="163">
      <c r="A3538" s="319">
        <f>'ASSOCIAÇÃO DA CRECHE SÃO FRANCI'!I11</f>
        <v/>
      </c>
      <c r="B3538" s="320">
        <f>'ASSOCIAÇÃO DA CRECHE SÃO FRANCI'!D11</f>
        <v/>
      </c>
    </row>
    <row r="3539" ht="15" customHeight="1" s="163">
      <c r="A3539" s="319">
        <f>'ASSOCIAÇÃO DA CRECHE SÃO FRANCI'!I12</f>
        <v/>
      </c>
      <c r="B3539" s="320">
        <f>'ASSOCIAÇÃO DA CRECHE SÃO FRANCI'!D12</f>
        <v/>
      </c>
    </row>
    <row r="3540" ht="15" customHeight="1" s="163">
      <c r="A3540" s="319">
        <f>'ASSOCIAÇÃO DA CRECHE SÃO FRANCI'!I13</f>
        <v/>
      </c>
      <c r="B3540" s="320">
        <f>'ASSOCIAÇÃO DA CRECHE SÃO FRANCI'!D13</f>
        <v/>
      </c>
    </row>
    <row r="3541" ht="15" customHeight="1" s="163">
      <c r="A3541" s="319">
        <f>'ASSOCIAÇÃO DA CRECHE SÃO FRANCI'!I14</f>
        <v/>
      </c>
      <c r="B3541" s="320">
        <f>'ASSOCIAÇÃO DA CRECHE SÃO FRANCI'!D14</f>
        <v/>
      </c>
    </row>
    <row r="3542" ht="15" customHeight="1" s="163">
      <c r="A3542" s="319">
        <f>'ASSOCIAÇÃO DA CRECHE SÃO FRANCI'!I15</f>
        <v/>
      </c>
      <c r="B3542" s="320">
        <f>'ASSOCIAÇÃO DA CRECHE SÃO FRANCI'!D15</f>
        <v/>
      </c>
    </row>
    <row r="3543" ht="15" customHeight="1" s="163">
      <c r="A3543" s="319">
        <f>'ASSOCIAÇÃO DA CRECHE SÃO FRANCI'!I16</f>
        <v/>
      </c>
      <c r="B3543" s="320">
        <f>'ASSOCIAÇÃO DA CRECHE SÃO FRANCI'!D16</f>
        <v/>
      </c>
    </row>
    <row r="3544" ht="15" customHeight="1" s="163">
      <c r="A3544" s="319">
        <f>'ASSOCIAÇÃO DA CRECHE SÃO FRANCI'!I17</f>
        <v/>
      </c>
      <c r="B3544" s="320">
        <f>'ASSOCIAÇÃO DA CRECHE SÃO FRANCI'!D17</f>
        <v/>
      </c>
    </row>
    <row r="3545" ht="15" customHeight="1" s="163">
      <c r="A3545" s="319">
        <f>'ASSOCIAÇÃO DA CRECHE SÃO FRANCI'!I18</f>
        <v/>
      </c>
      <c r="B3545" s="320">
        <f>'ASSOCIAÇÃO DA CRECHE SÃO FRANCI'!D18</f>
        <v/>
      </c>
    </row>
    <row r="3546" ht="15" customHeight="1" s="163">
      <c r="A3546" s="319">
        <f>'ASSOCIAÇÃO DA CRECHE SÃO FRANCI'!I19</f>
        <v/>
      </c>
      <c r="B3546" s="320">
        <f>'ASSOCIAÇÃO DA CRECHE SÃO FRANCI'!D19</f>
        <v/>
      </c>
    </row>
    <row r="3547" ht="15" customHeight="1" s="163">
      <c r="A3547" s="319">
        <f>'ASSOCIAÇÃO DA CRECHE SÃO FRANCI'!I20</f>
        <v/>
      </c>
      <c r="B3547" s="320">
        <f>'ASSOCIAÇÃO DA CRECHE SÃO FRANCI'!D20</f>
        <v/>
      </c>
    </row>
    <row r="3548" ht="15" customHeight="1" s="163">
      <c r="A3548" s="319">
        <f>'ASSOCIAÇÃO DA CRECHE SÃO FRANCI'!I21</f>
        <v/>
      </c>
      <c r="B3548" s="320">
        <f>'ASSOCIAÇÃO DA CRECHE SÃO FRANCI'!D21</f>
        <v/>
      </c>
    </row>
    <row r="3549" ht="15" customHeight="1" s="163">
      <c r="A3549" s="319">
        <f>'ASSOCIAÇÃO DA CRECHE SÃO FRANCI'!I22</f>
        <v/>
      </c>
      <c r="B3549" s="320">
        <f>'ASSOCIAÇÃO DA CRECHE SÃO FRANCI'!D22</f>
        <v/>
      </c>
    </row>
    <row r="3550" ht="15" customHeight="1" s="163">
      <c r="A3550" s="319">
        <f>'ASSOCIAÇÃO DA CRECHE SÃO FRANCI'!I23</f>
        <v/>
      </c>
      <c r="B3550" s="320">
        <f>'ASSOCIAÇÃO DA CRECHE SÃO FRANCI'!D23</f>
        <v/>
      </c>
    </row>
    <row r="3551" ht="15" customHeight="1" s="163">
      <c r="A3551" s="319">
        <f>'ASSOCIAÇÃO DA CRECHE SÃO FRANCI'!I24</f>
        <v/>
      </c>
      <c r="B3551" s="320">
        <f>'ASSOCIAÇÃO DA CRECHE SÃO FRANCI'!D24</f>
        <v/>
      </c>
    </row>
    <row r="3552" ht="15" customHeight="1" s="163">
      <c r="A3552" s="319">
        <f>'ASSOCIAÇÃO DA CRECHE SÃO FRANCI'!I25</f>
        <v/>
      </c>
      <c r="B3552" s="320">
        <f>'ASSOCIAÇÃO DA CRECHE SÃO FRANCI'!D25</f>
        <v/>
      </c>
    </row>
    <row r="3553" ht="15" customHeight="1" s="163">
      <c r="A3553" s="319">
        <f>'ASSOCIAÇÃO DA CRECHE SÃO FRANCI'!I26</f>
        <v/>
      </c>
      <c r="B3553" s="320">
        <f>'ASSOCIAÇÃO DA CRECHE SÃO FRANCI'!D26</f>
        <v/>
      </c>
    </row>
    <row r="3554" ht="15" customHeight="1" s="163">
      <c r="A3554" s="319">
        <f>'ASSOCIAÇÃO DA CRECHE SÃO FRANCI'!I27</f>
        <v/>
      </c>
      <c r="B3554" s="320">
        <f>'ASSOCIAÇÃO DA CRECHE SÃO FRANCI'!D27</f>
        <v/>
      </c>
    </row>
    <row r="3555" ht="15" customHeight="1" s="163">
      <c r="A3555" s="319">
        <f>'CEI SÃO JOSÉ DO ITAMARATI'!I9</f>
        <v/>
      </c>
      <c r="B3555" s="320">
        <f>'CEI SÃO JOSÉ DO ITAMARATI'!D9</f>
        <v/>
      </c>
    </row>
    <row r="3556" ht="15" customHeight="1" s="163">
      <c r="A3556" s="319">
        <f>'CEI SÃO JOSÉ DO ITAMARATI'!I10</f>
        <v/>
      </c>
      <c r="B3556" s="320">
        <f>'CEI SÃO JOSÉ DO ITAMARATI'!D10</f>
        <v/>
      </c>
    </row>
    <row r="3557" ht="15" customHeight="1" s="163">
      <c r="A3557" s="319">
        <f>'CEI SÃO JOSÉ DO ITAMARATI'!I11</f>
        <v/>
      </c>
      <c r="B3557" s="320">
        <f>'CEI SÃO JOSÉ DO ITAMARATI'!D11</f>
        <v/>
      </c>
    </row>
    <row r="3558" ht="15" customHeight="1" s="163">
      <c r="A3558" s="319">
        <f>'CEI SÃO JOSÉ DO ITAMARATI'!I12</f>
        <v/>
      </c>
      <c r="B3558" s="320">
        <f>'CEI SÃO JOSÉ DO ITAMARATI'!D12</f>
        <v/>
      </c>
    </row>
    <row r="3559" ht="15" customHeight="1" s="163">
      <c r="A3559" s="319">
        <f>'CEI SÃO JOSÉ DO ITAMARATI'!I13</f>
        <v/>
      </c>
      <c r="B3559" s="320">
        <f>'CEI SÃO JOSÉ DO ITAMARATI'!D13</f>
        <v/>
      </c>
    </row>
    <row r="3560" ht="15" customHeight="1" s="163">
      <c r="A3560" s="319">
        <f>'CEI SÃO JOSÉ DO ITAMARATI'!I14</f>
        <v/>
      </c>
      <c r="B3560" s="320">
        <f>'CEI SÃO JOSÉ DO ITAMARATI'!D14</f>
        <v/>
      </c>
    </row>
    <row r="3561" ht="15" customHeight="1" s="163">
      <c r="A3561" s="319">
        <f>'CEI SÃO JOSÉ DO ITAMARATI'!I15</f>
        <v/>
      </c>
      <c r="B3561" s="320">
        <f>'CEI SÃO JOSÉ DO ITAMARATI'!D15</f>
        <v/>
      </c>
    </row>
    <row r="3562" ht="15" customHeight="1" s="163">
      <c r="A3562" s="319">
        <f>'CEI SÃO JOSÉ DO ITAMARATI'!I16</f>
        <v/>
      </c>
      <c r="B3562" s="320">
        <f>'CEI SÃO JOSÉ DO ITAMARATI'!D16</f>
        <v/>
      </c>
    </row>
    <row r="3563" ht="15" customHeight="1" s="163">
      <c r="A3563" s="319">
        <f>'CEI SÃO JOSÉ DO ITAMARATI'!I17</f>
        <v/>
      </c>
      <c r="B3563" s="320">
        <f>'CEI SÃO JOSÉ DO ITAMARATI'!D17</f>
        <v/>
      </c>
    </row>
    <row r="3564" ht="15" customHeight="1" s="163">
      <c r="A3564" s="319">
        <f>'CEI SÃO JOSÉ DO ITAMARATI'!I18</f>
        <v/>
      </c>
      <c r="B3564" s="320">
        <f>'CEI SÃO JOSÉ DO ITAMARATI'!D18</f>
        <v/>
      </c>
    </row>
    <row r="3565" ht="15" customHeight="1" s="163">
      <c r="A3565" s="319">
        <f>'CEI SÃO JOSÉ DO ITAMARATI'!I19</f>
        <v/>
      </c>
      <c r="B3565" s="320">
        <f>'CEI SÃO JOSÉ DO ITAMARATI'!D19</f>
        <v/>
      </c>
    </row>
    <row r="3566" ht="15" customHeight="1" s="163">
      <c r="A3566" s="319">
        <f>'CEI SÃO JOSÉ DO ITAMARATI'!I20</f>
        <v/>
      </c>
      <c r="B3566" s="320">
        <f>'CEI SÃO JOSÉ DO ITAMARATI'!D20</f>
        <v/>
      </c>
    </row>
    <row r="3567" ht="15" customHeight="1" s="163">
      <c r="A3567" s="319">
        <f>'CEI SÃO JOSÉ DO ITAMARATI'!I21</f>
        <v/>
      </c>
      <c r="B3567" s="320">
        <f>'CEI SÃO JOSÉ DO ITAMARATI'!D21</f>
        <v/>
      </c>
    </row>
    <row r="3568" ht="15" customHeight="1" s="163">
      <c r="A3568" s="319">
        <f>'CEI SÃO JOSÉ DO ITAMARATI'!I22</f>
        <v/>
      </c>
      <c r="B3568" s="320">
        <f>'CEI SÃO JOSÉ DO ITAMARATI'!D22</f>
        <v/>
      </c>
    </row>
    <row r="3569" ht="15" customHeight="1" s="163">
      <c r="A3569" s="319">
        <f>'CEI SÃO JOSÉ DO ITAMARATI'!I23</f>
        <v/>
      </c>
      <c r="B3569" s="320">
        <f>'CEI SÃO JOSÉ DO ITAMARATI'!D23</f>
        <v/>
      </c>
    </row>
    <row r="3570" ht="15" customHeight="1" s="163">
      <c r="A3570" s="319">
        <f>'CEI SÃO JOSÉ DO ITAMARATI'!I24</f>
        <v/>
      </c>
      <c r="B3570" s="320">
        <f>'CEI SÃO JOSÉ DO ITAMARATI'!D24</f>
        <v/>
      </c>
    </row>
    <row r="3571" ht="15" customHeight="1" s="163">
      <c r="A3571" s="319">
        <f>'CEI SÃO JOSÉ DO ITAMARATI'!I25</f>
        <v/>
      </c>
      <c r="B3571" s="320">
        <f>'CEI SÃO JOSÉ DO ITAMARATI'!D25</f>
        <v/>
      </c>
    </row>
    <row r="3572" ht="15" customHeight="1" s="163">
      <c r="A3572" s="319">
        <f>'CEI SÃO JOSÉ DO ITAMARATI'!I26</f>
        <v/>
      </c>
      <c r="B3572" s="320">
        <f>'CEI SÃO JOSÉ DO ITAMARATI'!D26</f>
        <v/>
      </c>
    </row>
    <row r="3573" ht="15" customHeight="1" s="163">
      <c r="A3573" s="319">
        <f>'CEI SÃO JOSÉ DO ITAMARATI'!I27</f>
        <v/>
      </c>
      <c r="B3573" s="320">
        <f>'CEI SÃO JOSÉ DO ITAMARATI'!D27</f>
        <v/>
      </c>
    </row>
    <row r="3574" ht="15" customHeight="1" s="163">
      <c r="A3574" s="319">
        <f>'ASSOCIAÇÃO RECREAR'!I9</f>
        <v/>
      </c>
      <c r="B3574" s="320">
        <f>'ASSOCIAÇÃO RECREAR'!D9</f>
        <v/>
      </c>
    </row>
    <row r="3575" ht="15" customHeight="1" s="163">
      <c r="A3575" s="319">
        <f>'ASSOCIAÇÃO RECREAR'!I10</f>
        <v/>
      </c>
      <c r="B3575" s="320">
        <f>'ASSOCIAÇÃO RECREAR'!D10</f>
        <v/>
      </c>
    </row>
    <row r="3576" ht="15" customHeight="1" s="163">
      <c r="A3576" s="319">
        <f>'ASSOCIAÇÃO RECREAR'!I11</f>
        <v/>
      </c>
      <c r="B3576" s="320">
        <f>'ASSOCIAÇÃO RECREAR'!D11</f>
        <v/>
      </c>
    </row>
    <row r="3577" ht="15" customHeight="1" s="163">
      <c r="A3577" s="319">
        <f>'ASSOCIAÇÃO RECREAR'!I12</f>
        <v/>
      </c>
      <c r="B3577" s="320">
        <f>'ASSOCIAÇÃO RECREAR'!D12</f>
        <v/>
      </c>
    </row>
    <row r="3578" ht="15" customHeight="1" s="163">
      <c r="A3578" s="319">
        <f>'ASSOCIAÇÃO RECREAR'!I13</f>
        <v/>
      </c>
      <c r="B3578" s="320">
        <f>'ASSOCIAÇÃO RECREAR'!D13</f>
        <v/>
      </c>
    </row>
    <row r="3579" ht="15" customHeight="1" s="163">
      <c r="A3579" s="319">
        <f>'ASSOCIAÇÃO RECREAR'!I14</f>
        <v/>
      </c>
      <c r="B3579" s="320">
        <f>'ASSOCIAÇÃO RECREAR'!D14</f>
        <v/>
      </c>
    </row>
    <row r="3580" ht="15" customHeight="1" s="163">
      <c r="A3580" s="319">
        <f>'ASSOCIAÇÃO RECREAR'!I15</f>
        <v/>
      </c>
      <c r="B3580" s="320">
        <f>'ASSOCIAÇÃO RECREAR'!D15</f>
        <v/>
      </c>
    </row>
    <row r="3581" ht="15" customHeight="1" s="163">
      <c r="A3581" s="319">
        <f>'ASSOCIAÇÃO RECREAR'!I16</f>
        <v/>
      </c>
      <c r="B3581" s="320">
        <f>'ASSOCIAÇÃO RECREAR'!D16</f>
        <v/>
      </c>
    </row>
    <row r="3582" ht="15" customHeight="1" s="163">
      <c r="A3582" s="319">
        <f>'ASSOCIAÇÃO RECREAR'!I17</f>
        <v/>
      </c>
      <c r="B3582" s="320">
        <f>'ASSOCIAÇÃO RECREAR'!D17</f>
        <v/>
      </c>
    </row>
    <row r="3583" ht="15" customHeight="1" s="163">
      <c r="A3583" s="319">
        <f>'ASSOCIAÇÃO RECREAR'!I18</f>
        <v/>
      </c>
      <c r="B3583" s="320">
        <f>'ASSOCIAÇÃO RECREAR'!D18</f>
        <v/>
      </c>
    </row>
    <row r="3584" ht="15" customHeight="1" s="163">
      <c r="A3584" s="319">
        <f>'ASSOCIAÇÃO RECREAR'!I19</f>
        <v/>
      </c>
      <c r="B3584" s="320">
        <f>'ASSOCIAÇÃO RECREAR'!D19</f>
        <v/>
      </c>
    </row>
    <row r="3585" ht="15" customHeight="1" s="163">
      <c r="A3585" s="319">
        <f>'ASSOCIAÇÃO RECREAR'!I20</f>
        <v/>
      </c>
      <c r="B3585" s="320">
        <f>'ASSOCIAÇÃO RECREAR'!D20</f>
        <v/>
      </c>
    </row>
    <row r="3586" ht="15" customHeight="1" s="163">
      <c r="A3586" s="319">
        <f>'ASSOCIAÇÃO RECREAR'!I21</f>
        <v/>
      </c>
      <c r="B3586" s="320">
        <f>'ASSOCIAÇÃO RECREAR'!D21</f>
        <v/>
      </c>
    </row>
    <row r="3587" ht="15" customHeight="1" s="163">
      <c r="A3587" s="319">
        <f>'ASSOCIAÇÃO RECREAR'!I22</f>
        <v/>
      </c>
      <c r="B3587" s="320">
        <f>'ASSOCIAÇÃO RECREAR'!D22</f>
        <v/>
      </c>
    </row>
    <row r="3588" ht="15" customHeight="1" s="163">
      <c r="A3588" s="319">
        <f>'ASSOCIAÇÃO RECREAR'!I23</f>
        <v/>
      </c>
      <c r="B3588" s="320">
        <f>'ASSOCIAÇÃO RECREAR'!D23</f>
        <v/>
      </c>
    </row>
    <row r="3589" ht="15" customHeight="1" s="163">
      <c r="A3589" s="319">
        <f>'ASSOCIAÇÃO RECREAR'!I24</f>
        <v/>
      </c>
      <c r="B3589" s="320">
        <f>'ASSOCIAÇÃO RECREAR'!D24</f>
        <v/>
      </c>
    </row>
    <row r="3590" ht="15" customHeight="1" s="163">
      <c r="A3590" s="319">
        <f>'ASSOCIAÇÃO RECREAR'!I25</f>
        <v/>
      </c>
      <c r="B3590" s="320">
        <f>'ASSOCIAÇÃO RECREAR'!D25</f>
        <v/>
      </c>
    </row>
    <row r="3591" ht="15" customHeight="1" s="163">
      <c r="A3591" s="319">
        <f>'ASSOCIAÇÃO RECREAR'!I26</f>
        <v/>
      </c>
      <c r="B3591" s="320">
        <f>'ASSOCIAÇÃO RECREAR'!D26</f>
        <v/>
      </c>
    </row>
    <row r="3592" ht="15" customHeight="1" s="163">
      <c r="A3592" s="319">
        <f>'ASSOCIAÇÃO RECREAR'!I27</f>
        <v/>
      </c>
      <c r="B3592" s="320">
        <f>'ASSOCIAÇÃO RECREAR'!D27</f>
        <v/>
      </c>
    </row>
    <row r="3593" ht="15" customHeight="1" s="163">
      <c r="A3593" s="319">
        <f>'CRECHE-ESCOLA CASTELO SÃO MANOE'!I9</f>
        <v/>
      </c>
      <c r="B3593" s="320">
        <f>'CRECHE-ESCOLA CASTELO SÃO MANOE'!D9</f>
        <v/>
      </c>
    </row>
    <row r="3594" ht="15" customHeight="1" s="163">
      <c r="A3594" s="319">
        <f>'CRECHE-ESCOLA CASTELO SÃO MANOE'!I10</f>
        <v/>
      </c>
      <c r="B3594" s="320">
        <f>'CRECHE-ESCOLA CASTELO SÃO MANOE'!D10</f>
        <v/>
      </c>
    </row>
    <row r="3595" ht="15" customHeight="1" s="163">
      <c r="A3595" s="319">
        <f>'CRECHE-ESCOLA CASTELO SÃO MANOE'!I11</f>
        <v/>
      </c>
      <c r="B3595" s="320">
        <f>'CRECHE-ESCOLA CASTELO SÃO MANOE'!D11</f>
        <v/>
      </c>
    </row>
    <row r="3596" ht="15" customHeight="1" s="163">
      <c r="A3596" s="319">
        <f>'CRECHE-ESCOLA CASTELO SÃO MANOE'!I12</f>
        <v/>
      </c>
      <c r="B3596" s="320">
        <f>'CRECHE-ESCOLA CASTELO SÃO MANOE'!D12</f>
        <v/>
      </c>
    </row>
    <row r="3597" ht="15" customHeight="1" s="163">
      <c r="A3597" s="319">
        <f>'CRECHE-ESCOLA CASTELO SÃO MANOE'!I13</f>
        <v/>
      </c>
      <c r="B3597" s="320">
        <f>'CRECHE-ESCOLA CASTELO SÃO MANOE'!D13</f>
        <v/>
      </c>
    </row>
    <row r="3598" ht="15" customHeight="1" s="163">
      <c r="A3598" s="319">
        <f>'CRECHE-ESCOLA CASTELO SÃO MANOE'!I14</f>
        <v/>
      </c>
      <c r="B3598" s="320">
        <f>'CRECHE-ESCOLA CASTELO SÃO MANOE'!D14</f>
        <v/>
      </c>
    </row>
    <row r="3599" ht="15" customHeight="1" s="163">
      <c r="A3599" s="319">
        <f>'CRECHE-ESCOLA CASTELO SÃO MANOE'!I15</f>
        <v/>
      </c>
      <c r="B3599" s="320">
        <f>'CRECHE-ESCOLA CASTELO SÃO MANOE'!D15</f>
        <v/>
      </c>
    </row>
    <row r="3600" ht="15" customHeight="1" s="163">
      <c r="A3600" s="319">
        <f>'CRECHE-ESCOLA CASTELO SÃO MANOE'!I16</f>
        <v/>
      </c>
      <c r="B3600" s="320">
        <f>'CRECHE-ESCOLA CASTELO SÃO MANOE'!D16</f>
        <v/>
      </c>
    </row>
    <row r="3601" ht="15" customHeight="1" s="163">
      <c r="A3601" s="319">
        <f>'CRECHE-ESCOLA CASTELO SÃO MANOE'!I17</f>
        <v/>
      </c>
      <c r="B3601" s="320">
        <f>'CRECHE-ESCOLA CASTELO SÃO MANOE'!D17</f>
        <v/>
      </c>
    </row>
    <row r="3602" ht="15" customHeight="1" s="163">
      <c r="A3602" s="319">
        <f>'CRECHE-ESCOLA CASTELO SÃO MANOE'!I18</f>
        <v/>
      </c>
      <c r="B3602" s="320">
        <f>'CRECHE-ESCOLA CASTELO SÃO MANOE'!D18</f>
        <v/>
      </c>
    </row>
    <row r="3603" ht="15" customHeight="1" s="163">
      <c r="A3603" s="319">
        <f>'CRECHE-ESCOLA CASTELO SÃO MANOE'!I19</f>
        <v/>
      </c>
      <c r="B3603" s="320">
        <f>'CRECHE-ESCOLA CASTELO SÃO MANOE'!D19</f>
        <v/>
      </c>
    </row>
    <row r="3604" ht="15" customHeight="1" s="163">
      <c r="A3604" s="319">
        <f>'CRECHE-ESCOLA CASTELO SÃO MANOE'!I20</f>
        <v/>
      </c>
      <c r="B3604" s="320">
        <f>'CRECHE-ESCOLA CASTELO SÃO MANOE'!D20</f>
        <v/>
      </c>
    </row>
    <row r="3605" ht="15" customHeight="1" s="163">
      <c r="A3605" s="319">
        <f>'CRECHE-ESCOLA CASTELO SÃO MANOE'!I21</f>
        <v/>
      </c>
      <c r="B3605" s="320">
        <f>'CRECHE-ESCOLA CASTELO SÃO MANOE'!D21</f>
        <v/>
      </c>
    </row>
    <row r="3606" ht="15" customHeight="1" s="163">
      <c r="A3606" s="319">
        <f>'CRECHE-ESCOLA CASTELO SÃO MANOE'!I22</f>
        <v/>
      </c>
      <c r="B3606" s="320">
        <f>'CRECHE-ESCOLA CASTELO SÃO MANOE'!D22</f>
        <v/>
      </c>
    </row>
    <row r="3607" ht="15" customHeight="1" s="163">
      <c r="A3607" s="319">
        <f>'CRECHE-ESCOLA CASTELO SÃO MANOE'!I23</f>
        <v/>
      </c>
      <c r="B3607" s="320">
        <f>'CRECHE-ESCOLA CASTELO SÃO MANOE'!D23</f>
        <v/>
      </c>
    </row>
    <row r="3608" ht="15" customHeight="1" s="163">
      <c r="A3608" s="319">
        <f>'CRECHE-ESCOLA CASTELO SÃO MANOE'!I24</f>
        <v/>
      </c>
      <c r="B3608" s="320">
        <f>'CRECHE-ESCOLA CASTELO SÃO MANOE'!D24</f>
        <v/>
      </c>
    </row>
    <row r="3609" ht="15" customHeight="1" s="163">
      <c r="A3609" s="319">
        <f>'CRECHE-ESCOLA CASTELO SÃO MANOE'!I25</f>
        <v/>
      </c>
      <c r="B3609" s="320">
        <f>'CRECHE-ESCOLA CASTELO SÃO MANOE'!D25</f>
        <v/>
      </c>
    </row>
    <row r="3610" ht="15" customHeight="1" s="163">
      <c r="A3610" s="319">
        <f>'CRECHE-ESCOLA CASTELO SÃO MANOE'!I26</f>
        <v/>
      </c>
      <c r="B3610" s="320">
        <f>'CRECHE-ESCOLA CASTELO SÃO MANOE'!D26</f>
        <v/>
      </c>
    </row>
    <row r="3611" ht="15" customHeight="1" s="163">
      <c r="A3611" s="319">
        <f>'CRECHE-ESCOLA CASTELO SÃO MANOE'!I27</f>
        <v/>
      </c>
      <c r="B3611" s="320">
        <f>'CRECHE-ESCOLA CASTELO SÃO MANOE'!D27</f>
        <v/>
      </c>
    </row>
    <row r="3612" ht="15" customHeight="1" s="163">
      <c r="A3612" s="319">
        <f>'CENTRO DE EDUCAÇÃO INFANTIL SÃO'!I9</f>
        <v/>
      </c>
      <c r="B3612" s="320">
        <f>'CENTRO DE EDUCAÇÃO INFANTIL SÃO'!D9</f>
        <v/>
      </c>
    </row>
    <row r="3613" ht="15" customHeight="1" s="163">
      <c r="A3613" s="319">
        <f>'CENTRO DE EDUCAÇÃO INFANTIL SÃO'!I10</f>
        <v/>
      </c>
      <c r="B3613" s="320">
        <f>'CENTRO DE EDUCAÇÃO INFANTIL SÃO'!D10</f>
        <v/>
      </c>
    </row>
    <row r="3614" ht="15" customHeight="1" s="163">
      <c r="A3614" s="319">
        <f>'CENTRO DE EDUCAÇÃO INFANTIL SÃO'!I11</f>
        <v/>
      </c>
      <c r="B3614" s="320">
        <f>'CENTRO DE EDUCAÇÃO INFANTIL SÃO'!D11</f>
        <v/>
      </c>
    </row>
    <row r="3615" ht="15" customHeight="1" s="163">
      <c r="A3615" s="319">
        <f>'CENTRO DE EDUCAÇÃO INFANTIL SÃO'!I12</f>
        <v/>
      </c>
      <c r="B3615" s="320">
        <f>'CENTRO DE EDUCAÇÃO INFANTIL SÃO'!D12</f>
        <v/>
      </c>
    </row>
    <row r="3616" ht="15" customHeight="1" s="163">
      <c r="A3616" s="319">
        <f>'CENTRO DE EDUCAÇÃO INFANTIL SÃO'!I13</f>
        <v/>
      </c>
      <c r="B3616" s="320">
        <f>'CENTRO DE EDUCAÇÃO INFANTIL SÃO'!D13</f>
        <v/>
      </c>
    </row>
    <row r="3617" ht="15" customHeight="1" s="163">
      <c r="A3617" s="319">
        <f>'CENTRO DE EDUCAÇÃO INFANTIL SÃO'!I14</f>
        <v/>
      </c>
      <c r="B3617" s="320">
        <f>'CENTRO DE EDUCAÇÃO INFANTIL SÃO'!D14</f>
        <v/>
      </c>
    </row>
    <row r="3618" ht="15" customHeight="1" s="163">
      <c r="A3618" s="319">
        <f>'CENTRO DE EDUCAÇÃO INFANTIL SÃO'!I15</f>
        <v/>
      </c>
      <c r="B3618" s="320">
        <f>'CENTRO DE EDUCAÇÃO INFANTIL SÃO'!D15</f>
        <v/>
      </c>
    </row>
    <row r="3619" ht="15" customHeight="1" s="163">
      <c r="A3619" s="319">
        <f>'CENTRO DE EDUCAÇÃO INFANTIL SÃO'!I16</f>
        <v/>
      </c>
      <c r="B3619" s="320">
        <f>'CENTRO DE EDUCAÇÃO INFANTIL SÃO'!D16</f>
        <v/>
      </c>
    </row>
    <row r="3620" ht="15" customHeight="1" s="163">
      <c r="A3620" s="319">
        <f>'CENTRO DE EDUCAÇÃO INFANTIL SÃO'!I17</f>
        <v/>
      </c>
      <c r="B3620" s="320">
        <f>'CENTRO DE EDUCAÇÃO INFANTIL SÃO'!D17</f>
        <v/>
      </c>
    </row>
    <row r="3621" ht="15" customHeight="1" s="163">
      <c r="A3621" s="319">
        <f>'CENTRO DE EDUCAÇÃO INFANTIL SÃO'!I18</f>
        <v/>
      </c>
      <c r="B3621" s="320">
        <f>'CENTRO DE EDUCAÇÃO INFANTIL SÃO'!D18</f>
        <v/>
      </c>
    </row>
    <row r="3622" ht="15" customHeight="1" s="163">
      <c r="A3622" s="319">
        <f>'CENTRO DE EDUCAÇÃO INFANTIL SÃO'!I19</f>
        <v/>
      </c>
      <c r="B3622" s="320">
        <f>'CENTRO DE EDUCAÇÃO INFANTIL SÃO'!D19</f>
        <v/>
      </c>
    </row>
    <row r="3623" ht="15" customHeight="1" s="163">
      <c r="A3623" s="319">
        <f>'CENTRO DE EDUCAÇÃO INFANTIL SÃO'!I20</f>
        <v/>
      </c>
      <c r="B3623" s="320">
        <f>'CENTRO DE EDUCAÇÃO INFANTIL SÃO'!D20</f>
        <v/>
      </c>
    </row>
    <row r="3624" ht="15" customHeight="1" s="163">
      <c r="A3624" s="319">
        <f>'CENTRO DE EDUCAÇÃO INFANTIL SÃO'!I21</f>
        <v/>
      </c>
      <c r="B3624" s="320">
        <f>'CENTRO DE EDUCAÇÃO INFANTIL SÃO'!D21</f>
        <v/>
      </c>
    </row>
    <row r="3625" ht="15" customHeight="1" s="163">
      <c r="A3625" s="319">
        <f>'CENTRO DE EDUCAÇÃO INFANTIL SÃO'!I22</f>
        <v/>
      </c>
      <c r="B3625" s="320">
        <f>'CENTRO DE EDUCAÇÃO INFANTIL SÃO'!D22</f>
        <v/>
      </c>
    </row>
    <row r="3626" ht="15" customHeight="1" s="163">
      <c r="A3626" s="319">
        <f>'CENTRO DE EDUCAÇÃO INFANTIL SÃO'!I23</f>
        <v/>
      </c>
      <c r="B3626" s="320">
        <f>'CENTRO DE EDUCAÇÃO INFANTIL SÃO'!D23</f>
        <v/>
      </c>
    </row>
    <row r="3627" ht="15" customHeight="1" s="163">
      <c r="A3627" s="319">
        <f>'CENTRO DE EDUCAÇÃO INFANTIL SÃO'!I24</f>
        <v/>
      </c>
      <c r="B3627" s="320">
        <f>'CENTRO DE EDUCAÇÃO INFANTIL SÃO'!D24</f>
        <v/>
      </c>
    </row>
    <row r="3628" ht="15" customHeight="1" s="163">
      <c r="A3628" s="319">
        <f>'CENTRO DE EDUCAÇÃO INFANTIL SÃO'!I25</f>
        <v/>
      </c>
      <c r="B3628" s="320">
        <f>'CENTRO DE EDUCAÇÃO INFANTIL SÃO'!D25</f>
        <v/>
      </c>
    </row>
    <row r="3629" ht="15" customHeight="1" s="163">
      <c r="A3629" s="319">
        <f>'CENTRO DE EDUCAÇÃO INFANTIL SÃO'!I26</f>
        <v/>
      </c>
      <c r="B3629" s="320">
        <f>'CENTRO DE EDUCAÇÃO INFANTIL SÃO'!D26</f>
        <v/>
      </c>
    </row>
    <row r="3630" ht="15" customHeight="1" s="163">
      <c r="A3630" s="319">
        <f>'CENTRO DE EDUCAÇÃO INFANTIL SÃO'!I27</f>
        <v/>
      </c>
      <c r="B3630" s="320">
        <f>'CENTRO DE EDUCAÇÃO INFANTIL SÃO'!D27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2026-09-08T20:53:27Z</dcterms:created>
  <dcterms:modified xmlns:dcterms="http://purl.org/dc/terms/" xmlns:xsi="http://www.w3.org/2001/XMLSchema-instance" xsi:type="dcterms:W3CDTF">2026-09-27T14:50:52Z</dcterms:modified>
  <cp:revision>1</cp:revision>
</cp:coreProperties>
</file>