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760" windowHeight="1428" activeTab="1"/>
  </bookViews>
  <sheets>
    <sheet name="012024" sheetId="5" r:id="rId1"/>
    <sheet name="022024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<sst xmlns="http://schemas.openxmlformats.org/spreadsheetml/2006/main" count="66" uniqueCount="36">
  <si>
    <t>Cindapa do Brasil</t>
  </si>
  <si>
    <t>R$</t>
  </si>
  <si>
    <t>1° semestre 2020</t>
  </si>
  <si>
    <t>2° semestre (projetado)</t>
  </si>
  <si>
    <t>2°semestre ok</t>
  </si>
  <si>
    <t>Receita Líquida dos serviços prestados e mercadorias vendidas</t>
  </si>
  <si>
    <t>(-) Custos dos serviços prestados e mercadorias vendidas</t>
  </si>
  <si>
    <t>(=) Lucro Bruto</t>
  </si>
  <si>
    <t>(-) Despesas gerais e administrativas</t>
  </si>
  <si>
    <t>(-) Provisão para perda esperada dos serviços faturados</t>
  </si>
  <si>
    <t>(-) Outras receitas e desp. Op.</t>
  </si>
  <si>
    <t>(=) Resultado antes das receitas (despesas financeiras), resultado de equivalência patrimonial e impostos</t>
  </si>
  <si>
    <t>(+) Receitas financeiras</t>
  </si>
  <si>
    <t>(-) Despesas financeiras</t>
  </si>
  <si>
    <t>Receitas (despesas) financeiras, líquidas</t>
  </si>
  <si>
    <t>Resultado antes do imposto de renda e da contribuição social</t>
  </si>
  <si>
    <t>(-) IR/CSLL</t>
  </si>
  <si>
    <t>(=) Lucro líquido</t>
  </si>
  <si>
    <t>EBITDA</t>
  </si>
  <si>
    <t>Valor</t>
  </si>
  <si>
    <t>%</t>
  </si>
  <si>
    <t>Lucro Líquido</t>
  </si>
  <si>
    <t>Resultado Financeiro</t>
  </si>
  <si>
    <t>Depreciação</t>
  </si>
  <si>
    <t>Impostos sobre o lucro</t>
  </si>
  <si>
    <t>Venda ativo imobilizado</t>
  </si>
  <si>
    <t>g137-g141</t>
  </si>
  <si>
    <t>g150+g200+g237</t>
  </si>
  <si>
    <t>g147+g148</t>
  </si>
  <si>
    <t>g241+g263</t>
  </si>
  <si>
    <t>g249</t>
  </si>
  <si>
    <t>g256</t>
  </si>
  <si>
    <t>g268</t>
  </si>
  <si>
    <t>pode pegar ali de cima</t>
  </si>
  <si>
    <t>g172</t>
  </si>
  <si>
    <t>g246-g379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</si>
</sst>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(#,##0_)_%;\(#,##0\)_%;_(&quot;–&quot;_)_%;_(@_)_%"/>
    <numFmt numFmtId="181" formatCode="d/m/yyyy"/>
    <numFmt numFmtId="182" formatCode="_(#,##0.0%_);\(#,##0.0%\);_(&quot;–&quot;_)_%;_(@_)_%"/>
  </numFmts>
  <fonts count="32">
    <font>
      <sz val="11"/>
      <color theme="1"/>
      <name val="Calibri"/>
      <charset val="134"/>
      <scheme val="minor"/>
    </font>
    <font>
      <b/>
      <sz val="16"/>
      <color rgb="FFFFFFFF"/>
      <name val="Calibri"/>
      <charset val="1"/>
    </font>
    <font>
      <sz val="11"/>
      <color rgb="FF0000FF"/>
      <name val="Calibri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Calibri"/>
      <charset val="1"/>
    </font>
  </fonts>
  <fills count="44">
    <fill>
      <patternFill patternType="none"/>
    </fill>
    <fill>
      <patternFill patternType="gray125"/>
    </fill>
    <fill>
      <patternFill patternType="solid">
        <fgColor rgb="FF165788"/>
        <bgColor rgb="FF003366"/>
      </patternFill>
    </fill>
    <fill>
      <patternFill patternType="solid">
        <fgColor rgb="FFEAEAEA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EAEAE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1" fillId="0" borderId="0"/>
  </cellStyleXfs>
  <cellXfs count="68">
    <xf numFmtId="0" fontId="0" fillId="0" borderId="0" xfId="0"/>
    <xf numFmtId="0" fontId="1" fillId="2" borderId="0" xfId="0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7" fontId="4" fillId="3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176" fontId="5" fillId="0" borderId="3" xfId="0" applyNumberFormat="1" applyFont="1" applyBorder="1"/>
    <xf numFmtId="176" fontId="5" fillId="0" borderId="3" xfId="1" applyFont="1" applyBorder="1" applyAlignment="1"/>
    <xf numFmtId="0" fontId="5" fillId="4" borderId="3" xfId="0" applyFont="1" applyFill="1" applyBorder="1"/>
    <xf numFmtId="0" fontId="5" fillId="5" borderId="0" xfId="0" applyFont="1" applyFill="1"/>
    <xf numFmtId="180" fontId="6" fillId="5" borderId="3" xfId="0" applyNumberFormat="1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180" fontId="6" fillId="0" borderId="3" xfId="0" applyNumberFormat="1" applyFont="1" applyBorder="1" applyAlignment="1">
      <alignment horizontal="center"/>
    </xf>
    <xf numFmtId="180" fontId="6" fillId="4" borderId="3" xfId="0" applyNumberFormat="1" applyFont="1" applyFill="1" applyBorder="1" applyAlignment="1">
      <alignment horizontal="center"/>
    </xf>
    <xf numFmtId="0" fontId="4" fillId="0" borderId="4" xfId="0" applyFont="1" applyBorder="1"/>
    <xf numFmtId="180" fontId="3" fillId="0" borderId="3" xfId="0" applyNumberFormat="1" applyFont="1" applyBorder="1" applyAlignment="1">
      <alignment horizontal="center"/>
    </xf>
    <xf numFmtId="180" fontId="7" fillId="4" borderId="3" xfId="0" applyNumberFormat="1" applyFont="1" applyFill="1" applyBorder="1" applyAlignment="1">
      <alignment horizontal="center"/>
    </xf>
    <xf numFmtId="0" fontId="5" fillId="7" borderId="0" xfId="0" applyFont="1" applyFill="1"/>
    <xf numFmtId="180" fontId="6" fillId="7" borderId="3" xfId="0" applyNumberFormat="1" applyFont="1" applyFill="1" applyBorder="1" applyAlignment="1">
      <alignment horizontal="center"/>
    </xf>
    <xf numFmtId="0" fontId="0" fillId="7" borderId="0" xfId="0" applyFill="1"/>
    <xf numFmtId="0" fontId="5" fillId="8" borderId="0" xfId="0" applyFont="1" applyFill="1"/>
    <xf numFmtId="180" fontId="6" fillId="8" borderId="3" xfId="0" applyNumberFormat="1" applyFont="1" applyFill="1" applyBorder="1" applyAlignment="1">
      <alignment horizontal="center"/>
    </xf>
    <xf numFmtId="0" fontId="0" fillId="8" borderId="0" xfId="0" applyFill="1"/>
    <xf numFmtId="0" fontId="5" fillId="9" borderId="0" xfId="0" applyFont="1" applyFill="1"/>
    <xf numFmtId="180" fontId="6" fillId="9" borderId="3" xfId="0" applyNumberFormat="1" applyFont="1" applyFill="1" applyBorder="1" applyAlignment="1">
      <alignment horizontal="center"/>
    </xf>
    <xf numFmtId="0" fontId="0" fillId="9" borderId="0" xfId="0" applyFill="1"/>
    <xf numFmtId="0" fontId="4" fillId="0" borderId="4" xfId="0" applyFont="1" applyBorder="1" applyAlignment="1">
      <alignment horizontal="center" wrapText="1"/>
    </xf>
    <xf numFmtId="180" fontId="3" fillId="0" borderId="5" xfId="0" applyNumberFormat="1" applyFont="1" applyBorder="1" applyAlignment="1">
      <alignment horizontal="center"/>
    </xf>
    <xf numFmtId="180" fontId="8" fillId="4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180" fontId="3" fillId="0" borderId="6" xfId="0" applyNumberFormat="1" applyFont="1" applyBorder="1" applyAlignment="1">
      <alignment horizontal="center"/>
    </xf>
    <xf numFmtId="0" fontId="5" fillId="10" borderId="0" xfId="0" applyFont="1" applyFill="1"/>
    <xf numFmtId="180" fontId="6" fillId="10" borderId="3" xfId="0" applyNumberFormat="1" applyFont="1" applyFill="1" applyBorder="1" applyAlignment="1">
      <alignment horizontal="center"/>
    </xf>
    <xf numFmtId="0" fontId="0" fillId="10" borderId="0" xfId="0" applyFill="1"/>
    <xf numFmtId="0" fontId="5" fillId="11" borderId="0" xfId="0" applyFont="1" applyFill="1"/>
    <xf numFmtId="180" fontId="6" fillId="11" borderId="3" xfId="0" applyNumberFormat="1" applyFont="1" applyFill="1" applyBorder="1" applyAlignment="1">
      <alignment horizontal="center"/>
    </xf>
    <xf numFmtId="0" fontId="0" fillId="11" borderId="0" xfId="0" applyFill="1"/>
    <xf numFmtId="0" fontId="4" fillId="0" borderId="0" xfId="0" applyFont="1"/>
    <xf numFmtId="0" fontId="5" fillId="12" borderId="0" xfId="0" applyFont="1" applyFill="1"/>
    <xf numFmtId="180" fontId="6" fillId="12" borderId="3" xfId="0" applyNumberFormat="1" applyFont="1" applyFill="1" applyBorder="1" applyAlignment="1">
      <alignment horizontal="center"/>
    </xf>
    <xf numFmtId="0" fontId="0" fillId="12" borderId="0" xfId="0" applyFill="1"/>
    <xf numFmtId="0" fontId="4" fillId="0" borderId="1" xfId="0" applyFont="1" applyBorder="1"/>
    <xf numFmtId="180" fontId="8" fillId="4" borderId="5" xfId="0" applyNumberFormat="1" applyFon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8" fillId="4" borderId="0" xfId="0" applyNumberFormat="1" applyFont="1" applyFill="1" applyAlignment="1">
      <alignment horizontal="center"/>
    </xf>
    <xf numFmtId="181" fontId="5" fillId="0" borderId="0" xfId="49" applyNumberFormat="1" applyFont="1" applyAlignment="1">
      <alignment horizontal="left"/>
    </xf>
    <xf numFmtId="0" fontId="6" fillId="0" borderId="0" xfId="0" applyFont="1"/>
    <xf numFmtId="0" fontId="6" fillId="4" borderId="0" xfId="0" applyFont="1" applyFill="1"/>
    <xf numFmtId="181" fontId="4" fillId="0" borderId="4" xfId="49" applyNumberFormat="1" applyFont="1" applyBorder="1" applyAlignment="1">
      <alignment horizontal="left"/>
    </xf>
    <xf numFmtId="180" fontId="6" fillId="0" borderId="6" xfId="0" applyNumberFormat="1" applyFont="1" applyBorder="1" applyAlignment="1">
      <alignment horizontal="center"/>
    </xf>
    <xf numFmtId="180" fontId="6" fillId="4" borderId="6" xfId="0" applyNumberFormat="1" applyFont="1" applyFill="1" applyBorder="1" applyAlignment="1">
      <alignment horizontal="center"/>
    </xf>
    <xf numFmtId="180" fontId="6" fillId="4" borderId="7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80" fontId="6" fillId="13" borderId="3" xfId="0" applyNumberFormat="1" applyFont="1" applyFill="1" applyBorder="1" applyAlignment="1">
      <alignment horizontal="center"/>
    </xf>
    <xf numFmtId="182" fontId="9" fillId="0" borderId="3" xfId="0" applyNumberFormat="1" applyFont="1" applyBorder="1" applyAlignment="1">
      <alignment horizontal="center"/>
    </xf>
    <xf numFmtId="182" fontId="9" fillId="4" borderId="3" xfId="0" applyNumberFormat="1" applyFont="1" applyFill="1" applyBorder="1" applyAlignment="1">
      <alignment horizontal="center"/>
    </xf>
    <xf numFmtId="182" fontId="9" fillId="4" borderId="8" xfId="0" applyNumberFormat="1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/>
    <xf numFmtId="0" fontId="6" fillId="4" borderId="3" xfId="0" applyFont="1" applyFill="1" applyBorder="1"/>
    <xf numFmtId="0" fontId="6" fillId="4" borderId="8" xfId="0" applyFont="1" applyFill="1" applyBorder="1"/>
    <xf numFmtId="0" fontId="10" fillId="0" borderId="9" xfId="0" applyFont="1" applyBorder="1"/>
    <xf numFmtId="180" fontId="10" fillId="0" borderId="3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180" fontId="0" fillId="0" borderId="0" xfId="0" applyNumberFormat="1"/>
  </cellXfs>
  <cellStyles count="50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 2 2 1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opLeftCell="A5" workbookViewId="0">
      <selection activeCell="C5" sqref="C5"/>
    </sheetView>
  </sheetViews>
  <sheetFormatPr defaultColWidth="9" defaultRowHeight="14.4" outlineLevelCol="6"/>
  <cols>
    <col min="2" max="2" width="53" customWidth="1"/>
    <col min="3" max="3" width="14.7777777777778" customWidth="1"/>
    <col min="4" max="4" width="14.7777777777778" hidden="1" customWidth="1"/>
    <col min="5" max="6" width="18" hidden="1" customWidth="1"/>
  </cols>
  <sheetData>
    <row r="1" ht="21" spans="1:6">
      <c r="A1" s="1" t="s">
        <v>0</v>
      </c>
      <c r="B1" s="1"/>
      <c r="C1" s="1"/>
      <c r="D1" s="1"/>
      <c r="E1" s="1"/>
      <c r="F1" s="1"/>
    </row>
    <row r="2" ht="8.4" customHeight="1" spans="3:4">
      <c r="C2" s="2"/>
      <c r="D2" s="2"/>
    </row>
    <row r="3" ht="28.8" spans="1:6">
      <c r="A3" s="3"/>
      <c r="B3" s="4" t="s">
        <v>1</v>
      </c>
      <c r="C3" s="5">
        <v>45292</v>
      </c>
      <c r="D3" s="6" t="s">
        <v>2</v>
      </c>
      <c r="E3" s="6" t="s">
        <v>3</v>
      </c>
      <c r="F3" s="6" t="s">
        <v>4</v>
      </c>
    </row>
    <row r="4" spans="2:6">
      <c r="B4" s="7"/>
      <c r="C4" s="8"/>
      <c r="D4" s="9"/>
      <c r="E4" s="10"/>
      <c r="F4" s="10"/>
    </row>
    <row r="5" spans="2:6">
      <c r="B5" s="7" t="s">
        <v>5</v>
      </c>
      <c r="C5" s="15">
        <v>27985037.94</v>
      </c>
      <c r="D5" s="15">
        <f>13539545.8+8264345.28</f>
        <v>21803891.08</v>
      </c>
      <c r="E5" s="16">
        <f>D5*110%</f>
        <v>23984280.188</v>
      </c>
      <c r="F5" s="16">
        <f>14730382.59+7884915.89</f>
        <v>22615298.48</v>
      </c>
    </row>
    <row r="6" spans="2:6">
      <c r="B6" s="7" t="s">
        <v>6</v>
      </c>
      <c r="C6" s="15">
        <v>0</v>
      </c>
      <c r="D6" s="15">
        <f>-(598873.46+11673.39)</f>
        <v>-610546.85</v>
      </c>
      <c r="E6" s="16">
        <f>D6*110%</f>
        <v>-671601.535</v>
      </c>
      <c r="F6" s="16">
        <f>-(633337.22+11435.77)</f>
        <v>-644772.99</v>
      </c>
    </row>
    <row r="7" spans="2:6">
      <c r="B7" s="17" t="s">
        <v>7</v>
      </c>
      <c r="C7" s="18">
        <f t="shared" ref="C7:F7" si="0">C5+C6</f>
        <v>27985037.94</v>
      </c>
      <c r="D7" s="15">
        <f t="shared" si="0"/>
        <v>21193344.23</v>
      </c>
      <c r="E7" s="19">
        <f t="shared" si="0"/>
        <v>23312678.653</v>
      </c>
      <c r="F7" s="19">
        <f t="shared" si="0"/>
        <v>21970525.49</v>
      </c>
    </row>
    <row r="8" spans="2:6">
      <c r="B8" s="7" t="s">
        <v>8</v>
      </c>
      <c r="C8" s="15">
        <v>-27393584.24</v>
      </c>
      <c r="D8" s="15">
        <v>-518543.48</v>
      </c>
      <c r="E8" s="16">
        <f>D8</f>
        <v>-518543.48</v>
      </c>
      <c r="F8" s="16">
        <f>-(480384.26+98499.04)</f>
        <v>-578883.3</v>
      </c>
    </row>
    <row r="9" spans="2:6">
      <c r="B9" s="7" t="s">
        <v>9</v>
      </c>
      <c r="C9" s="15">
        <v>-64033.22</v>
      </c>
      <c r="D9" s="15">
        <v>-2880380.16</v>
      </c>
      <c r="E9" s="16">
        <f>D9</f>
        <v>-2880380.16</v>
      </c>
      <c r="F9" s="16">
        <f>-(2958656.5+1154256.79)</f>
        <v>-4112913.29</v>
      </c>
    </row>
    <row r="10" spans="2:6">
      <c r="B10" s="7" t="s">
        <v>10</v>
      </c>
      <c r="C10" s="15">
        <f>16226.78+65373.45</f>
        <v>81600.23</v>
      </c>
      <c r="D10" s="15">
        <v>-14771737.23</v>
      </c>
      <c r="E10" s="16">
        <f>D10*110%</f>
        <v>-16248910.953</v>
      </c>
      <c r="F10" s="16">
        <f>-(9290871.32+6666282.69)</f>
        <v>-15957154.01</v>
      </c>
    </row>
    <row r="11" spans="2:6">
      <c r="B11" s="29" t="s">
        <v>11</v>
      </c>
      <c r="C11" s="30">
        <f t="shared" ref="C11:F11" si="1">C7+C8+C9+C10</f>
        <v>609020.710000003</v>
      </c>
      <c r="D11" s="18">
        <f t="shared" si="1"/>
        <v>3022683.36</v>
      </c>
      <c r="E11" s="31">
        <f t="shared" si="1"/>
        <v>3664844.06</v>
      </c>
      <c r="F11" s="31">
        <f t="shared" si="1"/>
        <v>1321574.89</v>
      </c>
    </row>
    <row r="12" spans="2:6">
      <c r="B12" s="32"/>
      <c r="C12" s="33"/>
      <c r="D12" s="18"/>
      <c r="E12" s="31"/>
      <c r="F12" s="31"/>
    </row>
    <row r="13" spans="2:6">
      <c r="B13" s="7" t="s">
        <v>12</v>
      </c>
      <c r="C13" s="15">
        <v>53597.68</v>
      </c>
      <c r="D13" s="15">
        <f>53849.14+13940.85</f>
        <v>67789.99</v>
      </c>
      <c r="E13" s="16">
        <f>D13</f>
        <v>67789.99</v>
      </c>
      <c r="F13" s="16">
        <f>34833.34+5975.83</f>
        <v>40809.17</v>
      </c>
    </row>
    <row r="14" spans="2:6">
      <c r="B14" s="7" t="s">
        <v>13</v>
      </c>
      <c r="C14" s="15">
        <v>-247920.66</v>
      </c>
      <c r="D14" s="15">
        <f>-(212135.8+58067.14)</f>
        <v>-270202.94</v>
      </c>
      <c r="E14" s="16">
        <f>D14</f>
        <v>-270202.94</v>
      </c>
      <c r="F14" s="16">
        <f>-(268625.86+17235.23)</f>
        <v>-285861.09</v>
      </c>
    </row>
    <row r="15" spans="2:6">
      <c r="B15" s="40" t="s">
        <v>14</v>
      </c>
      <c r="C15" s="18">
        <f>C14+C13</f>
        <v>-194322.98</v>
      </c>
      <c r="D15" s="15"/>
      <c r="E15" s="16"/>
      <c r="F15" s="16"/>
    </row>
    <row r="16" spans="2:6">
      <c r="B16" s="17" t="s">
        <v>15</v>
      </c>
      <c r="C16" s="18">
        <f t="shared" ref="C16:F16" si="2">C11+C13+C14</f>
        <v>414697.730000003</v>
      </c>
      <c r="D16" s="18">
        <f t="shared" si="2"/>
        <v>2820270.41</v>
      </c>
      <c r="E16" s="31">
        <f t="shared" si="2"/>
        <v>3462431.11</v>
      </c>
      <c r="F16" s="31">
        <f t="shared" si="2"/>
        <v>1076522.97</v>
      </c>
    </row>
    <row r="17" spans="2:6">
      <c r="B17" s="7" t="s">
        <v>16</v>
      </c>
      <c r="C17" s="15">
        <v>-154205.01</v>
      </c>
      <c r="D17" s="15">
        <f>-(510847.9+383527.98)</f>
        <v>-894375.88</v>
      </c>
      <c r="E17" s="16">
        <f>D17*110%</f>
        <v>-983813.468</v>
      </c>
      <c r="F17" s="16">
        <f>-(411454)</f>
        <v>-411454</v>
      </c>
    </row>
    <row r="18" spans="2:6">
      <c r="B18" s="44" t="s">
        <v>17</v>
      </c>
      <c r="C18" s="18">
        <f t="shared" ref="C18:F18" si="3">C16+C17</f>
        <v>260492.720000003</v>
      </c>
      <c r="D18" s="30">
        <f t="shared" si="3"/>
        <v>1925894.53</v>
      </c>
      <c r="E18" s="45">
        <f t="shared" si="3"/>
        <v>2478617.642</v>
      </c>
      <c r="F18" s="45">
        <f t="shared" si="3"/>
        <v>665068.970000001</v>
      </c>
    </row>
    <row r="19" spans="2:6">
      <c r="B19" s="40"/>
      <c r="C19" s="46"/>
      <c r="D19" s="46"/>
      <c r="E19" s="47"/>
      <c r="F19" s="47"/>
    </row>
    <row r="20" spans="2:6">
      <c r="B20" s="48"/>
      <c r="C20" s="49"/>
      <c r="D20" s="49"/>
      <c r="E20" s="50"/>
      <c r="F20" s="50"/>
    </row>
    <row r="21" spans="2:7">
      <c r="B21" s="51" t="s">
        <v>18</v>
      </c>
      <c r="C21" s="15" t="s">
        <v>19</v>
      </c>
      <c r="D21" s="52">
        <f>205707.27+130626.98</f>
        <v>336334.25</v>
      </c>
      <c r="E21" s="53">
        <f>D21</f>
        <v>336334.25</v>
      </c>
      <c r="F21" s="54">
        <f>242797.55+131405.17</f>
        <v>374202.72</v>
      </c>
      <c r="G21" s="55" t="s">
        <v>20</v>
      </c>
    </row>
    <row r="22" spans="2:7">
      <c r="B22" s="7" t="s">
        <v>21</v>
      </c>
      <c r="C22" s="56">
        <f>C18</f>
        <v>260492.720000003</v>
      </c>
      <c r="D22" s="57" t="e">
        <f>#REF!/D$5</f>
        <v>#REF!</v>
      </c>
      <c r="E22" s="58" t="e">
        <f>#REF!/E$5</f>
        <v>#REF!</v>
      </c>
      <c r="F22" s="59" t="e">
        <f>#REF!/F$5</f>
        <v>#REF!</v>
      </c>
      <c r="G22" s="60">
        <f>C22/C$5</f>
        <v>0.00930828539730767</v>
      </c>
    </row>
    <row r="23" spans="2:7">
      <c r="B23" s="48" t="s">
        <v>22</v>
      </c>
      <c r="C23" s="56">
        <v>194322.98</v>
      </c>
      <c r="D23" s="61"/>
      <c r="E23" s="62"/>
      <c r="F23" s="63"/>
      <c r="G23" s="60">
        <f>C23/C$5</f>
        <v>0.0069438169216218</v>
      </c>
    </row>
    <row r="24" spans="2:7">
      <c r="B24" s="48" t="s">
        <v>23</v>
      </c>
      <c r="C24" s="56">
        <v>107305.07</v>
      </c>
      <c r="G24" s="60">
        <f>C24/C$5</f>
        <v>0.00383437286131476</v>
      </c>
    </row>
    <row r="25" spans="2:7">
      <c r="B25" s="48" t="s">
        <v>24</v>
      </c>
      <c r="C25" s="56">
        <v>154205.01</v>
      </c>
      <c r="G25" s="60">
        <f t="shared" ref="G25:G27" si="4">C25/C$5</f>
        <v>0.00551026624765048</v>
      </c>
    </row>
    <row r="26" spans="2:7">
      <c r="B26" s="48" t="s">
        <v>25</v>
      </c>
      <c r="C26" s="56">
        <v>14200</v>
      </c>
      <c r="G26" s="60">
        <f t="shared" si="4"/>
        <v>0.00050741399852467</v>
      </c>
    </row>
    <row r="27" spans="2:7">
      <c r="B27" s="64" t="s">
        <v>18</v>
      </c>
      <c r="C27" s="65">
        <f>C22+C23+C24+C25-C26</f>
        <v>702125.780000003</v>
      </c>
      <c r="G27" s="66">
        <f t="shared" si="4"/>
        <v>0.02508932742937</v>
      </c>
    </row>
  </sheetData>
  <mergeCells count="3">
    <mergeCell ref="A1:F1"/>
    <mergeCell ref="B11:B12"/>
    <mergeCell ref="C11:C1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zoomScale="145" zoomScaleNormal="145" topLeftCell="A7" workbookViewId="0">
      <selection activeCell="C15" sqref="C15"/>
    </sheetView>
  </sheetViews>
  <sheetFormatPr defaultColWidth="9" defaultRowHeight="14.4"/>
  <cols>
    <col min="2" max="2" width="53" customWidth="1"/>
    <col min="3" max="3" width="14.7777777777778" customWidth="1"/>
    <col min="4" max="4" width="14.7777777777778" hidden="1" customWidth="1"/>
    <col min="5" max="6" width="18" hidden="1" customWidth="1"/>
    <col min="7" max="7" width="16" customWidth="1"/>
    <col min="9" max="9" width="9.55555555555556"/>
  </cols>
  <sheetData>
    <row r="1" ht="21" spans="1:6">
      <c r="A1" s="1" t="s">
        <v>0</v>
      </c>
      <c r="B1" s="1"/>
      <c r="C1" s="1"/>
      <c r="D1" s="1"/>
      <c r="E1" s="1"/>
      <c r="F1" s="1"/>
    </row>
    <row r="2" ht="8.4" customHeight="1" spans="3:4">
      <c r="C2" s="2"/>
      <c r="D2" s="2"/>
    </row>
    <row r="3" ht="28.8" spans="1:6">
      <c r="A3" s="3"/>
      <c r="B3" s="4" t="s">
        <v>1</v>
      </c>
      <c r="C3" s="5">
        <v>45323</v>
      </c>
      <c r="D3" s="6" t="s">
        <v>2</v>
      </c>
      <c r="E3" s="6" t="s">
        <v>3</v>
      </c>
      <c r="F3" s="6" t="s">
        <v>4</v>
      </c>
    </row>
    <row r="4" spans="2:6">
      <c r="B4" s="7"/>
      <c r="C4" s="8"/>
      <c r="D4" s="9"/>
      <c r="E4" s="10"/>
      <c r="F4" s="10"/>
    </row>
    <row r="5" spans="2:8">
      <c r="B5" s="11" t="s">
        <v>5</v>
      </c>
      <c r="C5" s="12">
        <v>28133507.91</v>
      </c>
      <c r="D5" s="12">
        <f>13539545.8+8264345.28</f>
        <v>21803891.08</v>
      </c>
      <c r="E5" s="12">
        <f>D5*110%</f>
        <v>23984280.188</v>
      </c>
      <c r="F5" s="12">
        <f>14730382.59+7884915.89</f>
        <v>22615298.48</v>
      </c>
      <c r="G5" s="13" t="s">
        <v>26</v>
      </c>
      <c r="H5" s="14"/>
    </row>
    <row r="6" spans="2:8">
      <c r="B6" s="7" t="s">
        <v>6</v>
      </c>
      <c r="C6" s="15">
        <v>0</v>
      </c>
      <c r="D6" s="15">
        <f>-(598873.46+11673.39)</f>
        <v>-610546.85</v>
      </c>
      <c r="E6" s="16">
        <f>D6*110%</f>
        <v>-671601.535</v>
      </c>
      <c r="F6" s="16">
        <f>-(633337.22+11435.77)</f>
        <v>-644772.99</v>
      </c>
      <c r="H6" s="14"/>
    </row>
    <row r="7" spans="2:8">
      <c r="B7" s="17" t="s">
        <v>7</v>
      </c>
      <c r="C7" s="18">
        <f t="shared" ref="C7:F7" si="0">C5+C6</f>
        <v>28133507.91</v>
      </c>
      <c r="D7" s="15">
        <f t="shared" si="0"/>
        <v>21193344.23</v>
      </c>
      <c r="E7" s="19">
        <f t="shared" si="0"/>
        <v>23312678.653</v>
      </c>
      <c r="F7" s="19">
        <f t="shared" si="0"/>
        <v>21970525.49</v>
      </c>
      <c r="H7" s="14"/>
    </row>
    <row r="8" spans="2:9">
      <c r="B8" s="20" t="s">
        <v>8</v>
      </c>
      <c r="C8" s="21">
        <v>-27661184.37</v>
      </c>
      <c r="D8" s="21">
        <v>-518543.48</v>
      </c>
      <c r="E8" s="21">
        <f>D8</f>
        <v>-518543.48</v>
      </c>
      <c r="F8" s="21">
        <f>-(480384.26+98499.04)</f>
        <v>-578883.3</v>
      </c>
      <c r="G8" s="22" t="s">
        <v>27</v>
      </c>
      <c r="H8" s="14"/>
      <c r="I8" s="67"/>
    </row>
    <row r="9" spans="2:8">
      <c r="B9" s="23" t="s">
        <v>9</v>
      </c>
      <c r="C9" s="24">
        <v>-83895.9</v>
      </c>
      <c r="D9" s="24">
        <v>-2880380.16</v>
      </c>
      <c r="E9" s="24">
        <f>D9</f>
        <v>-2880380.16</v>
      </c>
      <c r="F9" s="24">
        <f>-(2958656.5+1154256.79)</f>
        <v>-4112913.29</v>
      </c>
      <c r="G9" s="25" t="s">
        <v>28</v>
      </c>
      <c r="H9" s="14"/>
    </row>
    <row r="10" spans="2:8">
      <c r="B10" s="26" t="s">
        <v>10</v>
      </c>
      <c r="C10" s="27">
        <f>16226.78+57727.9</f>
        <v>73954.68</v>
      </c>
      <c r="D10" s="27">
        <v>-14771737.23</v>
      </c>
      <c r="E10" s="27">
        <f>D10*110%</f>
        <v>-16248910.953</v>
      </c>
      <c r="F10" s="27">
        <f>-(9290871.32+6666282.69)</f>
        <v>-15957154.01</v>
      </c>
      <c r="G10" s="28" t="s">
        <v>29</v>
      </c>
      <c r="H10" s="14"/>
    </row>
    <row r="11" spans="2:8">
      <c r="B11" s="29" t="s">
        <v>11</v>
      </c>
      <c r="C11" s="30">
        <f>C7+C8+C9+C10</f>
        <v>462382.319999999</v>
      </c>
      <c r="D11" s="18">
        <f t="shared" ref="C11:F11" si="1">D7+D8+D9+D10</f>
        <v>3022683.36</v>
      </c>
      <c r="E11" s="31">
        <f t="shared" si="1"/>
        <v>3664844.06</v>
      </c>
      <c r="F11" s="31">
        <f t="shared" si="1"/>
        <v>1321574.89</v>
      </c>
      <c r="H11" s="14"/>
    </row>
    <row r="12" spans="2:8">
      <c r="B12" s="32"/>
      <c r="C12" s="33"/>
      <c r="D12" s="18"/>
      <c r="E12" s="31"/>
      <c r="F12" s="31"/>
      <c r="H12" s="14"/>
    </row>
    <row r="13" spans="2:8">
      <c r="B13" s="34" t="s">
        <v>12</v>
      </c>
      <c r="C13" s="35">
        <v>51750.11</v>
      </c>
      <c r="D13" s="35">
        <f>53849.14+13940.85</f>
        <v>67789.99</v>
      </c>
      <c r="E13" s="35">
        <f>D13</f>
        <v>67789.99</v>
      </c>
      <c r="F13" s="35">
        <f>34833.34+5975.83</f>
        <v>40809.17</v>
      </c>
      <c r="G13" s="36" t="s">
        <v>30</v>
      </c>
      <c r="H13" s="14"/>
    </row>
    <row r="14" spans="2:8">
      <c r="B14" s="37" t="s">
        <v>13</v>
      </c>
      <c r="C14" s="38">
        <v>-255027.65</v>
      </c>
      <c r="D14" s="38">
        <f>-(212135.8+58067.14)</f>
        <v>-270202.94</v>
      </c>
      <c r="E14" s="38">
        <f>D14</f>
        <v>-270202.94</v>
      </c>
      <c r="F14" s="38">
        <f>-(268625.86+17235.23)</f>
        <v>-285861.09</v>
      </c>
      <c r="G14" s="39" t="s">
        <v>31</v>
      </c>
      <c r="H14" s="14"/>
    </row>
    <row r="15" spans="2:6">
      <c r="B15" s="40" t="s">
        <v>14</v>
      </c>
      <c r="C15" s="18">
        <f>C14+C13</f>
        <v>-203277.54</v>
      </c>
      <c r="D15" s="15"/>
      <c r="E15" s="16"/>
      <c r="F15" s="16"/>
    </row>
    <row r="16" spans="2:6">
      <c r="B16" s="17" t="s">
        <v>15</v>
      </c>
      <c r="C16" s="18">
        <f>C11+C13+C14</f>
        <v>259104.779999999</v>
      </c>
      <c r="D16" s="18">
        <f t="shared" ref="C16:F16" si="2">D11+D13+D14</f>
        <v>2820270.41</v>
      </c>
      <c r="E16" s="31">
        <f t="shared" si="2"/>
        <v>3462431.11</v>
      </c>
      <c r="F16" s="31">
        <f t="shared" si="2"/>
        <v>1076522.97</v>
      </c>
    </row>
    <row r="17" spans="2:7">
      <c r="B17" s="41" t="s">
        <v>16</v>
      </c>
      <c r="C17" s="42">
        <v>-154205.01</v>
      </c>
      <c r="D17" s="42">
        <f>-(510847.9+383527.98)</f>
        <v>-894375.88</v>
      </c>
      <c r="E17" s="42">
        <f>D17*110%</f>
        <v>-983813.468</v>
      </c>
      <c r="F17" s="42">
        <f>-(411454)</f>
        <v>-411454</v>
      </c>
      <c r="G17" s="43" t="s">
        <v>32</v>
      </c>
    </row>
    <row r="18" spans="2:6">
      <c r="B18" s="44" t="s">
        <v>17</v>
      </c>
      <c r="C18" s="18">
        <f>C16+C17</f>
        <v>104899.769999999</v>
      </c>
      <c r="D18" s="30">
        <f t="shared" ref="C18:F18" si="3">D16+D17</f>
        <v>1925894.53</v>
      </c>
      <c r="E18" s="45">
        <f t="shared" si="3"/>
        <v>2478617.642</v>
      </c>
      <c r="F18" s="45">
        <f t="shared" si="3"/>
        <v>665068.969999999</v>
      </c>
    </row>
    <row r="19" spans="2:6">
      <c r="B19" s="40"/>
      <c r="C19" s="46"/>
      <c r="D19" s="46"/>
      <c r="E19" s="47"/>
      <c r="F19" s="47"/>
    </row>
    <row r="20" spans="2:6">
      <c r="B20" s="48"/>
      <c r="C20" s="49"/>
      <c r="D20" s="49"/>
      <c r="E20" s="50"/>
      <c r="F20" s="50"/>
    </row>
    <row r="21" spans="2:7">
      <c r="B21" s="51" t="s">
        <v>18</v>
      </c>
      <c r="C21" s="15" t="s">
        <v>19</v>
      </c>
      <c r="D21" s="52">
        <f>205707.27+130626.98</f>
        <v>336334.25</v>
      </c>
      <c r="E21" s="53">
        <f>D21</f>
        <v>336334.25</v>
      </c>
      <c r="F21" s="54">
        <f>242797.55+131405.17</f>
        <v>374202.72</v>
      </c>
      <c r="G21" s="55" t="s">
        <v>20</v>
      </c>
    </row>
    <row r="22" spans="2:8">
      <c r="B22" s="7" t="s">
        <v>21</v>
      </c>
      <c r="C22" s="56">
        <f>C18</f>
        <v>104899.769999999</v>
      </c>
      <c r="D22" s="57" t="e">
        <f>#REF!/D$5</f>
        <v>#REF!</v>
      </c>
      <c r="E22" s="58" t="e">
        <f>#REF!/E$5</f>
        <v>#REF!</v>
      </c>
      <c r="F22" s="59" t="e">
        <f>#REF!/F$5</f>
        <v>#REF!</v>
      </c>
      <c r="G22" s="60">
        <f>C22/C$5</f>
        <v>0.00372864167296794</v>
      </c>
      <c r="H22" t="s">
        <v>33</v>
      </c>
    </row>
    <row r="23" spans="2:8">
      <c r="B23" s="48" t="s">
        <v>22</v>
      </c>
      <c r="C23" s="56">
        <v>203278</v>
      </c>
      <c r="D23" s="61"/>
      <c r="E23" s="62"/>
      <c r="F23" s="63"/>
      <c r="G23" s="60">
        <f>C23/C$5</f>
        <v>0.00722547649053552</v>
      </c>
      <c r="H23" t="s">
        <v>33</v>
      </c>
    </row>
    <row r="24" spans="2:8">
      <c r="B24" s="48" t="s">
        <v>23</v>
      </c>
      <c r="C24" s="56">
        <v>102761.63</v>
      </c>
      <c r="G24" s="60">
        <f>C24/C$5</f>
        <v>0.0036526419076049</v>
      </c>
      <c r="H24" t="s">
        <v>34</v>
      </c>
    </row>
    <row r="25" spans="2:8">
      <c r="B25" s="48" t="s">
        <v>24</v>
      </c>
      <c r="C25" s="56">
        <v>154205.01</v>
      </c>
      <c r="G25" s="60">
        <f t="shared" ref="G25:G27" si="4">C25/C$5</f>
        <v>0.00548118672201514</v>
      </c>
      <c r="H25" t="s">
        <v>33</v>
      </c>
    </row>
    <row r="26" spans="2:8">
      <c r="B26" s="48" t="s">
        <v>25</v>
      </c>
      <c r="C26" s="56">
        <v>14200</v>
      </c>
      <c r="G26" s="60">
        <f t="shared" si="4"/>
        <v>0.000504736204437294</v>
      </c>
      <c r="H26" t="s">
        <v>35</v>
      </c>
    </row>
    <row r="27" spans="2:7">
      <c r="B27" s="64" t="s">
        <v>18</v>
      </c>
      <c r="C27" s="65">
        <f>C22+C23+C24+C25-C26</f>
        <v>550944.409999999</v>
      </c>
      <c r="G27" s="66">
        <f t="shared" si="4"/>
        <v>0.0195832105886862</v>
      </c>
    </row>
  </sheetData>
  <mergeCells count="3">
    <mergeCell ref="A1:F1"/>
    <mergeCell ref="B11:B12"/>
    <mergeCell ref="C11:C1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012024</vt:lpstr>
      <vt:lpstr>022024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Documentos OnLine Contabilidad</cp:lastModifiedBy>
  <dcterms:created xsi:type="dcterms:W3CDTF">2020-09-16T19:23:00Z</dcterms:created>
  <cp:lastPrinted>2024-04-10T12:02:00Z</cp:lastPrinted>
  <dcterms:modified xsi:type="dcterms:W3CDTF">2024-05-03T20:23:04Z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1046-12.2.0.16731</vt:lpwstr>
  </property>
  <property fmtid="{D5CDD505-2E9C-101B-9397-08002B2CF9AE}" pid="3" name="ICV">
    <vt:lpwstr>A3BE1C51A83541F2A66CFE10996E4D63_13</vt:lpwstr>
  </property>
</Properties>
</file>